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Лист2!$A$7:$J$315</definedName>
  </definedNames>
  <calcPr calcId="124519"/>
</workbook>
</file>

<file path=xl/calcChain.xml><?xml version="1.0" encoding="utf-8"?>
<calcChain xmlns="http://schemas.openxmlformats.org/spreadsheetml/2006/main">
  <c r="B315" i="2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279" i="1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</calcChain>
</file>

<file path=xl/sharedStrings.xml><?xml version="1.0" encoding="utf-8"?>
<sst xmlns="http://schemas.openxmlformats.org/spreadsheetml/2006/main" count="3570" uniqueCount="369">
  <si>
    <t>Задолженность по прочим УК ЮАО  по состоянию на 17.05.2016 (без учета счета за апрель 2016)</t>
  </si>
  <si>
    <t>Альтернативная группа</t>
  </si>
  <si>
    <t>№ договора</t>
  </si>
  <si>
    <t>Дата заключения</t>
  </si>
  <si>
    <t>Дата расторжения договора</t>
  </si>
  <si>
    <t>Потребитель</t>
  </si>
  <si>
    <t>Статус</t>
  </si>
  <si>
    <t>Муниципальный район</t>
  </si>
  <si>
    <t>Задолженность (без учета счета за апрель 2016</t>
  </si>
  <si>
    <t>ВСЕГО на 17.05.2016</t>
  </si>
  <si>
    <t>Начальная дата образования</t>
  </si>
  <si>
    <t>Конечная дата образования</t>
  </si>
  <si>
    <t>ЮАО</t>
  </si>
  <si>
    <t>Управляющие организации</t>
  </si>
  <si>
    <t>0002 ЖСК</t>
  </si>
  <si>
    <t>01.04.2015</t>
  </si>
  <si>
    <t>ТОВАРИЩЕСТВО СОБСТВЕННИКОВ НЕДВИЖИМОСТИ "ЛИРА"</t>
  </si>
  <si>
    <t>в работе</t>
  </si>
  <si>
    <t>Даниловский</t>
  </si>
  <si>
    <t>29.02.2016</t>
  </si>
  <si>
    <t>01.06.2015</t>
  </si>
  <si>
    <t>Товарищество собственников жилья "ФЛАГМАН"</t>
  </si>
  <si>
    <t>Нагатино-Садовники</t>
  </si>
  <si>
    <t>31.03.2016</t>
  </si>
  <si>
    <t>01.01.2012</t>
  </si>
  <si>
    <t>ТОВАРИЩЕСТВО СОБСТВЕННИКОВ ЖИЛЬЯ "ЗАГОРЬЕ 1"</t>
  </si>
  <si>
    <t>Бирюлево Восточное</t>
  </si>
  <si>
    <t>31.01.2016</t>
  </si>
  <si>
    <t>31.12.2015</t>
  </si>
  <si>
    <t>06.12.2013</t>
  </si>
  <si>
    <t>Товарищество собственников жилья "Загорье 2"</t>
  </si>
  <si>
    <t>30.11.2015</t>
  </si>
  <si>
    <t>Товарищество собственников жилья "Загорье 3"</t>
  </si>
  <si>
    <t>31.01.2015</t>
  </si>
  <si>
    <t>ЖИЛИЩНО-СТРОИТЕЛЬНЫЙ КООПЕРАТИВ "САМОТЛОР"</t>
  </si>
  <si>
    <t>Бирюлево Западное</t>
  </si>
  <si>
    <t>Товарищество собственников жилья "Захарово"</t>
  </si>
  <si>
    <t>Орехово-Борисово Северное</t>
  </si>
  <si>
    <t>01.05.2007</t>
  </si>
  <si>
    <t>Жилищно-строительный кооператив "Москворечье-14"</t>
  </si>
  <si>
    <t>Москворечье-Сабурово</t>
  </si>
  <si>
    <t>01.10.2010</t>
  </si>
  <si>
    <t>Жилищно-строительный кооператив "Апрельский"</t>
  </si>
  <si>
    <t>01.11.2010</t>
  </si>
  <si>
    <t>Жилищно-строительный кооператив "Платина"</t>
  </si>
  <si>
    <t>Орехово-Борисово Южное</t>
  </si>
  <si>
    <t>01.09.2010</t>
  </si>
  <si>
    <t>Жилищно - строительный кооператив "Пятигорск"</t>
  </si>
  <si>
    <t>30.04.2015</t>
  </si>
  <si>
    <t>Жилищно-строительный кооператив "КЛИН"</t>
  </si>
  <si>
    <t>Жилищно-строительный кооператив "Юго-Восток"</t>
  </si>
  <si>
    <t>30.12.2010</t>
  </si>
  <si>
    <t>Жилищно-строительный кооператив "Ладожск-2"</t>
  </si>
  <si>
    <t>ЖИЛИЩНО-СТРОИТЕЛЬНЫЙ КООПЕРАТИВ "СВЕТЛЯЧОК"</t>
  </si>
  <si>
    <t>01.03.2012</t>
  </si>
  <si>
    <t>ЖИЛИЩНО-СТРОИТЕЛЬНЫЙ КООПЕРАТИВ "ОРИОН"</t>
  </si>
  <si>
    <t>31.12.2014</t>
  </si>
  <si>
    <t>ЖИЛИЩНО-СТРОИТЕЛЬНЫЙ КООПЕРАТИВ "КАЛИНА"</t>
  </si>
  <si>
    <t>01.07.2007</t>
  </si>
  <si>
    <t>ЖСК Поиск</t>
  </si>
  <si>
    <t>01.10.2007</t>
  </si>
  <si>
    <t>ЖСК ''Фаза''</t>
  </si>
  <si>
    <t>01.11.2008</t>
  </si>
  <si>
    <t>Товарищество собственников жилья "Борисовские пруды, 21-1"</t>
  </si>
  <si>
    <t>ТСЖ ''Борисовские пруды,23-1''</t>
  </si>
  <si>
    <t>31.07.2015</t>
  </si>
  <si>
    <t>Товарищество собственников жилья "Борисовские пруды, 25-1"</t>
  </si>
  <si>
    <t>30.04.2013</t>
  </si>
  <si>
    <t>31.08.2015</t>
  </si>
  <si>
    <t>ТСЖ ''Радужное''</t>
  </si>
  <si>
    <t>расторгнут</t>
  </si>
  <si>
    <t>31.10.2014</t>
  </si>
  <si>
    <t>ТСЖ "Борисовские пруды, 13-1"</t>
  </si>
  <si>
    <t>ТСЖ ''Борисовские пруды, 15-1</t>
  </si>
  <si>
    <t>30.06.2015</t>
  </si>
  <si>
    <t>Товарищество собственников жилья "Борисовские пруды, 17-1"</t>
  </si>
  <si>
    <t>Жилищно-строительный кооператив "Ладожск"</t>
  </si>
  <si>
    <t>ЖСК "Ивушка"</t>
  </si>
  <si>
    <t>30.04.2014</t>
  </si>
  <si>
    <t>01.12.2010</t>
  </si>
  <si>
    <t>Жилищно - строительный кооператив ''Стрелец''</t>
  </si>
  <si>
    <t>01.11.2009</t>
  </si>
  <si>
    <t>Жилищно-строительный кооператив "Родник"</t>
  </si>
  <si>
    <t>Жилищно-строительный кооператив "СУХУМИ" (Некоммерческая организация) Потребительское общество</t>
  </si>
  <si>
    <t>31.10.2015</t>
  </si>
  <si>
    <t>Жилищно-строительный кооператив "Объединенный жилищный кооператив Московского инженерно-физического института"</t>
  </si>
  <si>
    <t>Жилищно-строительный кооператив "Эмблема"</t>
  </si>
  <si>
    <t>Жилищно-строительный кооператив "Яхонт"</t>
  </si>
  <si>
    <t>Жилищно-строительный кооператив "Ермак"</t>
  </si>
  <si>
    <t>Жилищно-строительный кооператив "Перспектива"</t>
  </si>
  <si>
    <t>28.02.2015</t>
  </si>
  <si>
    <t>Жилищно-строительный кооператив "ТОПОЛЬ-2"</t>
  </si>
  <si>
    <t>Жилищно-строительный кооператив "БУХАРА" (некоммерческая организация) потребительское общество</t>
  </si>
  <si>
    <t>Жилищно-строительный кооператив "Орехово-5"</t>
  </si>
  <si>
    <t>31.03.2014</t>
  </si>
  <si>
    <t>01.07.2009</t>
  </si>
  <si>
    <t>Жилищно - строительный кооператив "Звездочка "</t>
  </si>
  <si>
    <t>Нагатинский затон</t>
  </si>
  <si>
    <t>Жилищно-строительный кооператив "Нагатинский"</t>
  </si>
  <si>
    <t>Некоммерческая организация Жилищно-строительный кооператив "Коломенское"</t>
  </si>
  <si>
    <t>Жилищно-строительный кооператив "Москворечье-5"</t>
  </si>
  <si>
    <t>01.04.2008</t>
  </si>
  <si>
    <t>Жилищно - строительный кооператив "Рыбинск"</t>
  </si>
  <si>
    <t>Жилищно-строительный кооператив "Кировец - 1"</t>
  </si>
  <si>
    <t>Жилищно - строительный кооператив "Луч "</t>
  </si>
  <si>
    <t>Жилищно-строительный кооператив "Союзгипролесхоз-2"</t>
  </si>
  <si>
    <t>Жилищно-строительный кооператив "Спутник-4"</t>
  </si>
  <si>
    <t>Жилищно - строительный кооператив "Энергетик-4"</t>
  </si>
  <si>
    <t>Товарищество собственников жилья "Нагатинская набережная, 54"</t>
  </si>
  <si>
    <t>31.12.2013</t>
  </si>
  <si>
    <t>Товарищество собственников жилья "Водник"</t>
  </si>
  <si>
    <t>Товарищество собственников жилья "Веселая 35"</t>
  </si>
  <si>
    <t>Царицыно</t>
  </si>
  <si>
    <t>Жилищно-строительный кооператив "Стальпроект"</t>
  </si>
  <si>
    <t>Жилищно-строительный кооператив "Вильнюс"</t>
  </si>
  <si>
    <t>30.09.2015</t>
  </si>
  <si>
    <t>01.08.2010</t>
  </si>
  <si>
    <t>Жилищно-строительный кооператив "Заря"</t>
  </si>
  <si>
    <t>01.06.2012</t>
  </si>
  <si>
    <t>Жилищно-строительный кооператив "Подснежник"</t>
  </si>
  <si>
    <t>01.06.2010</t>
  </si>
  <si>
    <t>Товарищество собственников жилья "Каширка 16"</t>
  </si>
  <si>
    <t>01.04.2010</t>
  </si>
  <si>
    <t>Товарищество собственников жилья "Коломенская усадьба"</t>
  </si>
  <si>
    <t>Товарищество собственников недвижимости "Москворечье 31"</t>
  </si>
  <si>
    <t>Жилищно-строительный кооператив "Лазурь"</t>
  </si>
  <si>
    <t>Зябликово</t>
  </si>
  <si>
    <t>Жилищно-строительный кооператив "Тихвин"</t>
  </si>
  <si>
    <t>ЖСК Марс-4</t>
  </si>
  <si>
    <t>01.11.2015</t>
  </si>
  <si>
    <t>ЖИЛИЩНО-СТРОИТЕЛЬНЫЙ КООПЕРАТИВ "БАКУ" Некоммерческая организация</t>
  </si>
  <si>
    <t>01.12.2014</t>
  </si>
  <si>
    <t>Жилищно-строительный кооператив "Гомель"</t>
  </si>
  <si>
    <t>Жилищно-строительный кооператив "Рица"</t>
  </si>
  <si>
    <t>Товарищество собственников жилья "АВТОПРОМОВЕЦ", ОКОПФ-94</t>
  </si>
  <si>
    <t>01.01.2015</t>
  </si>
  <si>
    <t>Товарищество собственников жилья "Высокая 2-4"</t>
  </si>
  <si>
    <t>Товарищество собственников жилья "Высокая 8-10"</t>
  </si>
  <si>
    <t>01.09.2007</t>
  </si>
  <si>
    <t>Товарищество собственников жилья "Высокая 7"</t>
  </si>
  <si>
    <t>ТСЖ ''Высокая 5-2''</t>
  </si>
  <si>
    <t>31.03.2015</t>
  </si>
  <si>
    <t>Жилищно-строительный кооператив "Ереван"</t>
  </si>
  <si>
    <t>Жилищный кооператив "Союз-16"</t>
  </si>
  <si>
    <t>31.10.2011</t>
  </si>
  <si>
    <t>Жилищно-строительный кооператив "БАЛТИЙСК"</t>
  </si>
  <si>
    <t>01.10.2009</t>
  </si>
  <si>
    <t>ТСЖ "Братеевская, 18-1"</t>
  </si>
  <si>
    <t>Братеево</t>
  </si>
  <si>
    <t>31.08.2013</t>
  </si>
  <si>
    <t>Потребительский жилищно-строительный кооператив "Юрмала"</t>
  </si>
  <si>
    <t>Жилищно-строительный кооператив "Москворечье-7"</t>
  </si>
  <si>
    <t>ЖИЛИЩНО-СТРОИТЕЛЬНЫЙ КООПЕРАТИВ "МОСКВОРЕЧЬЕ-13" Некоммерческая организация</t>
  </si>
  <si>
    <t>Жилищно-строительный кооператив "МОСКВОРЕЧЬЕ-15"</t>
  </si>
  <si>
    <t>Жилищно-строительный кооператив "МОСКВОРЕЧЬЕ-10"</t>
  </si>
  <si>
    <t>ЖИЛИЩНО-СТРОИТЕЛЬНЫЙ КООПЕРАТИВ "АГАВА"</t>
  </si>
  <si>
    <t>Товарищество собственников жилья "Борисовские пруды, 8-1"</t>
  </si>
  <si>
    <t>Товарищество собственников жилья "Алма-Атинская, 2"</t>
  </si>
  <si>
    <t>31.01.2014</t>
  </si>
  <si>
    <t>Товарищество собственников жилья "Братеевская, 33-1"</t>
  </si>
  <si>
    <t>01.04.2011</t>
  </si>
  <si>
    <t>Жилищно-строительный кооператив "Каширский"</t>
  </si>
  <si>
    <t>Жилищно-строительный кооператив "ОКА"</t>
  </si>
  <si>
    <t>Жилищно-строительный кооператив "Альтаир"</t>
  </si>
  <si>
    <t>28.02.2014</t>
  </si>
  <si>
    <t>Жилищно-строительный кооператив "Елецкий"</t>
  </si>
  <si>
    <t>01.04.2012</t>
  </si>
  <si>
    <t>Жилищный кооператив "ФОТОН"</t>
  </si>
  <si>
    <t>01.08.2012</t>
  </si>
  <si>
    <t>Товарищество собственников жилья "Алма - Атинская,11-1"</t>
  </si>
  <si>
    <t>01.04.2013</t>
  </si>
  <si>
    <t>Товарищество собственников жилья "Братеевская, 23-1"</t>
  </si>
  <si>
    <t>01.08.2008</t>
  </si>
  <si>
    <t>31.05.2012</t>
  </si>
  <si>
    <t>Товарищество собственников жилья "Загорье 5"</t>
  </si>
  <si>
    <t>30.04.2012</t>
  </si>
  <si>
    <t>01.05.2009</t>
  </si>
  <si>
    <t>Товарищество собственников жилья ''Бирюлево 1''</t>
  </si>
  <si>
    <t>01.03.2009</t>
  </si>
  <si>
    <t>Товарищество собственников жилья "Загорье 21-1"</t>
  </si>
  <si>
    <t>Товарищество собственников жилья "Загорье 23-1"</t>
  </si>
  <si>
    <t>ТСЖ "Загорье 17"</t>
  </si>
  <si>
    <t>30.11.2014</t>
  </si>
  <si>
    <t>Товарищество собственников жилья "Загорье 15"</t>
  </si>
  <si>
    <t>Товарищество собственников жилья "Лебедянская 32"</t>
  </si>
  <si>
    <t>01.07.2015</t>
  </si>
  <si>
    <t>ЖИЛИЩНО-СТРОИТЕЛЬНЫЙ КООПЕРАТИВ "КАУНАС"</t>
  </si>
  <si>
    <t>Товарищество собственников жилья "ВНЕШПОСЫЛТОРГОВЕЦ-5"</t>
  </si>
  <si>
    <t>Жилищный кооператив "НОВОЧЕРТАНОВСКИЙ"</t>
  </si>
  <si>
    <t>Нагорный</t>
  </si>
  <si>
    <t>01.05.2008</t>
  </si>
  <si>
    <t>ЖСК Чертаново-10</t>
  </si>
  <si>
    <t>Товарищество собственников жилья "На Большой Тульской улице"</t>
  </si>
  <si>
    <t>Донской</t>
  </si>
  <si>
    <t>Товарищество собственников жилья "ТСЖ "Трофимово"</t>
  </si>
  <si>
    <t>Жилищно-строительный кооператив "Автозаводец"</t>
  </si>
  <si>
    <t>01.03.2013</t>
  </si>
  <si>
    <t>Товарищество собственников жилья "Дом на набережной"</t>
  </si>
  <si>
    <t>Жилищно-строительный кооператив "Лесник"</t>
  </si>
  <si>
    <t>Чертаново Южное</t>
  </si>
  <si>
    <t>Жилищно-строительный кооператив "Селигер"</t>
  </si>
  <si>
    <t>01.04.2009</t>
  </si>
  <si>
    <t>Жилищно - строительный кооператив "Одесса"</t>
  </si>
  <si>
    <t>Жилищно-строительный кооператив "Элегант"</t>
  </si>
  <si>
    <t>01.12.2008</t>
  </si>
  <si>
    <t>ЖСК "Дерзкий "</t>
  </si>
  <si>
    <t>29.02.2012</t>
  </si>
  <si>
    <t>01.06.2009</t>
  </si>
  <si>
    <t>Жилищно-строительный кооператив "ОКЕАН"</t>
  </si>
  <si>
    <t>Жилищно-строительный кооператив "Суздаль"</t>
  </si>
  <si>
    <t>Чертаново Центральное</t>
  </si>
  <si>
    <t>Товарищество собственников жилья "Чонгарский 15"</t>
  </si>
  <si>
    <t>Жилищно - строительный кооператив "Проектант"</t>
  </si>
  <si>
    <t>Жилищно-строительный кооператив "Здоровье"</t>
  </si>
  <si>
    <t>Жилищно-строительный кооператив "Победит"</t>
  </si>
  <si>
    <t>Жилищно-строительный кооператив "Кожизделия"</t>
  </si>
  <si>
    <t>Жилищно - строительный кооператив "Мосэнергострой "</t>
  </si>
  <si>
    <t>Товарищество собственников жилья "Черноморский бульвар, 10-2"</t>
  </si>
  <si>
    <t>01.01.2010</t>
  </si>
  <si>
    <t>Товарищество собственников жилья "Болотниковская 3-1"</t>
  </si>
  <si>
    <t>Жилищно-строительный кооператив "Платан-1"</t>
  </si>
  <si>
    <t>16.01.2007</t>
  </si>
  <si>
    <t>ЖСК ''ЧЕРТАНОВО-1''</t>
  </si>
  <si>
    <t>Чертаново Северное</t>
  </si>
  <si>
    <t>01.01.2007</t>
  </si>
  <si>
    <t>ЖСК ''ЧЕРТАНОВО-2''</t>
  </si>
  <si>
    <t>ТСЖ ''РУСЬ''</t>
  </si>
  <si>
    <t>ЖСК ''ОБРАЗЦОВЫЙ''</t>
  </si>
  <si>
    <t>ЖСК ''МОСКВОРЕЧЬЕ''</t>
  </si>
  <si>
    <t>Жилищно-строительный кооператив "Гипротеатр"</t>
  </si>
  <si>
    <t>ЖСК ''ДНЕПР''</t>
  </si>
  <si>
    <t>ЖСК ''ЧЕРТАНОВО-6''</t>
  </si>
  <si>
    <t>Жилищно-строительный кооператив "Лотос"</t>
  </si>
  <si>
    <t>01.07.2006</t>
  </si>
  <si>
    <t>ЖСК ''Размах''</t>
  </si>
  <si>
    <t>ЖСК ''ЗЕМЛЯ''</t>
  </si>
  <si>
    <t>Жилищно-Строительный кооператив "Чертаново-7"</t>
  </si>
  <si>
    <t>Жилищно-строительный кооператив "Международник"</t>
  </si>
  <si>
    <t>ЖСК ''ЧЕРТАНОВО-8''</t>
  </si>
  <si>
    <t>Жилищно-строительный кооператив "МИКРОБИОПРОМ"</t>
  </si>
  <si>
    <t>Жилищно-строительный кооператив "Целина"</t>
  </si>
  <si>
    <t>ЖСК ''ПЕЧАТЬ-6''</t>
  </si>
  <si>
    <t>ЖСК "ЧЕРТАНОВО-9"</t>
  </si>
  <si>
    <t>01.07.2014</t>
  </si>
  <si>
    <t>Жилищно - строительный кооператив "Платан"</t>
  </si>
  <si>
    <t>01.08.2009</t>
  </si>
  <si>
    <t>Жилищно - строительный кооператив "ИКАР"</t>
  </si>
  <si>
    <t>Товарищество собственников жилья "Битца"</t>
  </si>
  <si>
    <t>30.06.2012</t>
  </si>
  <si>
    <t>Товарищество собственников жилья "Днепропетровская, 31"</t>
  </si>
  <si>
    <t>31.12.2011</t>
  </si>
  <si>
    <t>Товарищество собственников жилья ''Чертановская, 30-1''</t>
  </si>
  <si>
    <t>01.07.2008</t>
  </si>
  <si>
    <t>Жилищно-строительный кооператив ''Чертаново-4''</t>
  </si>
  <si>
    <t>01.01.2011</t>
  </si>
  <si>
    <t>Жилищно-строительный кооператив "Челнок"</t>
  </si>
  <si>
    <t>Жилищно-строительный кооператив "Полином"</t>
  </si>
  <si>
    <t>Товарищество собственников жилья "ул. Чертановская 43 корпус 2"</t>
  </si>
  <si>
    <t>Товарищество собственников жилья "ул. Днепропетровская 27 корпус 1"</t>
  </si>
  <si>
    <t>01.03.2015</t>
  </si>
  <si>
    <t>Товарищество собственников жилья "Чертановская дом 48 корпус 3"</t>
  </si>
  <si>
    <t>01.10.2015</t>
  </si>
  <si>
    <t>Товарищество собственников жилья "Чертановское"</t>
  </si>
  <si>
    <t>Товарищество собственников жилья "На Криворожской"</t>
  </si>
  <si>
    <t>Товарищество собственников жилья "На Тульской"</t>
  </si>
  <si>
    <t>31.10.2013</t>
  </si>
  <si>
    <t>31.05.2013</t>
  </si>
  <si>
    <t>Жилищно-строительный кооператив "Ленино-Дачное"</t>
  </si>
  <si>
    <t>ЖСК ''Чертаново-11''</t>
  </si>
  <si>
    <t>Жилищно-строительный кооператив "Харьков"</t>
  </si>
  <si>
    <t>Жилищно-строительный кооператив "Юность-2"</t>
  </si>
  <si>
    <t>ЖИЛИЩНО-СТРОИТЕЛЬНЫЙ КООПЕРАТИВ "РУБИН-6"</t>
  </si>
  <si>
    <t>Жилищно-строительный кооператив "Смоленский"</t>
  </si>
  <si>
    <t>01.07.2011</t>
  </si>
  <si>
    <t>ЖИЛИЩНО-СТРОИТЕЛЬНЫЙ КООПЕРАТИВ "РОМАНТИКА"</t>
  </si>
  <si>
    <t>31.03.2013</t>
  </si>
  <si>
    <t>26.03.2002</t>
  </si>
  <si>
    <t>ЖСК 'ДИHАМОВЕЦ'ПРОЛЕТАРСКИЙ ФИЛИАЛ</t>
  </si>
  <si>
    <t>20.05.2002</t>
  </si>
  <si>
    <t>ЖСК ''ГЕРАКЛ''</t>
  </si>
  <si>
    <t>14.09.2000</t>
  </si>
  <si>
    <t>ЖСК ''ОНЕЖСК''</t>
  </si>
  <si>
    <t>12.08.1999</t>
  </si>
  <si>
    <t>ЖСК ''ЧЕРТАНОВО-18''</t>
  </si>
  <si>
    <t>01.02.2000</t>
  </si>
  <si>
    <t>ЖСК ''ВАРШАВА''</t>
  </si>
  <si>
    <t>01.12.2001</t>
  </si>
  <si>
    <t>01.02.2005</t>
  </si>
  <si>
    <t>ЖСК Борисовский</t>
  </si>
  <si>
    <t>01.07.2003</t>
  </si>
  <si>
    <t>ЖСК Буран</t>
  </si>
  <si>
    <t>01.09.2004</t>
  </si>
  <si>
    <t>ЖСК Гиредмет-3</t>
  </si>
  <si>
    <t>03.01.1993</t>
  </si>
  <si>
    <t>Жилищно - строительный кооператив "Динамо-3"</t>
  </si>
  <si>
    <t>0004 Ведомственное жилье</t>
  </si>
  <si>
    <t>Закрытое акционерное общество "Коммунально-строительное управление Мосметростроя"</t>
  </si>
  <si>
    <t>Открытое акционерное общество "Центр международной торговли"</t>
  </si>
  <si>
    <t>0026 Управляющие компании по ТСЖ и ЖСК</t>
  </si>
  <si>
    <t>Товарищество собственников жилья "Орбита"</t>
  </si>
  <si>
    <t>Московское государственное унитарное предприятие по обслуживанию жилищной кооперации</t>
  </si>
  <si>
    <t>30.09.2014</t>
  </si>
  <si>
    <t>01.10.2014</t>
  </si>
  <si>
    <t>31.05.2015</t>
  </si>
  <si>
    <t>ОБЩЕСТВО С ОГРАНИЧЕННОЙ ОТВЕТСТВЕННОСТЬЮ "ГРУППА КОМПАНИЙ ДЕЛЬТА"</t>
  </si>
  <si>
    <t>ОБЩЕСТВО С ОГРАНИЧЕННОЙ ОТВЕТСТВЕННОСТЬЮ "УН ДЕЛЬТА-МОСКВА"</t>
  </si>
  <si>
    <t>0027 Прочие управляющие компании</t>
  </si>
  <si>
    <t>01.09.2015</t>
  </si>
  <si>
    <t>Общество с ограниченной ответственностью "ИнКомТраст"</t>
  </si>
  <si>
    <t>Общество с ограниченной ответственностью "Ремспецсервис-ЧН"</t>
  </si>
  <si>
    <t>Общество с ограниченной ответственностью "ПИК-Комфорт"</t>
  </si>
  <si>
    <t>08.11.2011</t>
  </si>
  <si>
    <t>01.09.2013</t>
  </si>
  <si>
    <t>31.08.2014</t>
  </si>
  <si>
    <t>Общество с ограниченной ответственностью Управляющая компания "Свитхом"</t>
  </si>
  <si>
    <t>31.05.2014</t>
  </si>
  <si>
    <t>Закрытое акционерное общество "Эксплуатационная компания ТСЖ"</t>
  </si>
  <si>
    <t>01.05.2012</t>
  </si>
  <si>
    <t>Общество с ограниченной ответственностью "Диметра"</t>
  </si>
  <si>
    <t>31.01.2012</t>
  </si>
  <si>
    <t>Общество с ограниченной ответственностью "КОМПАНИЯ "ВАНИ"</t>
  </si>
  <si>
    <t>15.12.2006</t>
  </si>
  <si>
    <t>Общество с ограниченной ответственностью "Управляющая компания "Отделстройконтракт"</t>
  </si>
  <si>
    <t>Общество с ограниченной ответственностью "Строительно - эксплуатационное управление "Фундаментстрой - 6"</t>
  </si>
  <si>
    <t>Общество с ограниченной ответственностью "Артинжстрой"</t>
  </si>
  <si>
    <t>01.12.2012</t>
  </si>
  <si>
    <t>01.01.2013</t>
  </si>
  <si>
    <t>17.01.2014</t>
  </si>
  <si>
    <t>Общество с ограниченной ответственностью Управляющая компания "ЦАРИЦЫНО-КОМФОРТ"</t>
  </si>
  <si>
    <t>27.08.2015</t>
  </si>
  <si>
    <t>Общество с ограниченной ответственностью "УК ПРИОРИТЕТ"</t>
  </si>
  <si>
    <t>01.12.2015</t>
  </si>
  <si>
    <t>ОБЩЕСТВО С ОГРАНИЧЕННОЙ ОТВЕТСТВЕННОСТЬЮ "УК ГРАНД"</t>
  </si>
  <si>
    <t>Шевченко Б.П.</t>
  </si>
  <si>
    <t>01.07.2012</t>
  </si>
  <si>
    <t>Общество с ограниченной ответственностью "Жилищник"</t>
  </si>
  <si>
    <t>30.06.2013</t>
  </si>
  <si>
    <t>Общество с ограниченной ответственностью "Экском"</t>
  </si>
  <si>
    <t>31.10.2012</t>
  </si>
  <si>
    <t>28.02.2013</t>
  </si>
  <si>
    <t>Общество с ограниченной ответственностью "Центр управления многоквартирными домами"</t>
  </si>
  <si>
    <t>01.09.2014</t>
  </si>
  <si>
    <t>Общество с ограниченной ответственностью "Комплекс-М"</t>
  </si>
  <si>
    <t>01.02.2015</t>
  </si>
  <si>
    <t>Общество с ограниченной ответственностью "СервисГрад"</t>
  </si>
  <si>
    <t>05.02.2013</t>
  </si>
  <si>
    <t>01.06.2014</t>
  </si>
  <si>
    <t>Общество с ограниченной ответственностью "Управляющая компания "Жилфонд"</t>
  </si>
  <si>
    <t>01.10.2012</t>
  </si>
  <si>
    <t>Открытое акционерное общество "Управляющая компания "Городская"</t>
  </si>
  <si>
    <t>01.11.2013</t>
  </si>
  <si>
    <t>01.11.2014</t>
  </si>
  <si>
    <t>Общество с ограниченной ответственностью "ЖилЦентр"</t>
  </si>
  <si>
    <t>Акционерное общество "ВК Комфорт"</t>
  </si>
  <si>
    <t>01.10.2011</t>
  </si>
  <si>
    <t>28.04.2012</t>
  </si>
  <si>
    <t>01.04.2014</t>
  </si>
  <si>
    <t>Общество с ограниченной ответственностью "Управляющая компания "Зенит"</t>
  </si>
  <si>
    <t>01.08.2014</t>
  </si>
  <si>
    <t>Закрытое акционерное общество Управляющая компания "Капитал-Инвест"</t>
  </si>
  <si>
    <t>01.12.2011</t>
  </si>
  <si>
    <t>Общество с ограниченной ответственностью "ТСЖ Столица"</t>
  </si>
  <si>
    <t>Общество с ограниченной ответственностью "Ремэнерго"</t>
  </si>
  <si>
    <t>01.02.2014</t>
  </si>
  <si>
    <t>ОБЩЕСТВО С ОГРАНИЧЕННОЙ ОТВЕТСТВЕННОСТЬЮ "УПРАВЛЯЮЩАЯ КОМПАНИЯ ВЕКТОР"</t>
  </si>
  <si>
    <t>29.11.2013</t>
  </si>
  <si>
    <t>Общество с ограниченной ответственностью "Система ПЛЮС"</t>
  </si>
  <si>
    <t>01.01.1997</t>
  </si>
  <si>
    <t>Шибина Светлана Олеговна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</si>
</sst>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NumberFormat="1" applyFont="1" applyFill="1" applyAlignment="1"/>
    <xf numFmtId="0" fontId="1" fillId="0" borderId="0" xfId="1" applyNumberFormat="1"/>
    <xf numFmtId="4" fontId="1" fillId="0" borderId="0" xfId="1" applyNumberFormat="1" applyAlignment="1">
      <alignment wrapText="1"/>
    </xf>
    <xf numFmtId="49" fontId="1" fillId="0" borderId="0" xfId="1" applyNumberFormat="1"/>
    <xf numFmtId="0" fontId="1" fillId="0" borderId="0" xfId="1" applyAlignment="1">
      <alignment wrapText="1"/>
    </xf>
    <xf numFmtId="0" fontId="1" fillId="0" borderId="0" xfId="1" applyFill="1"/>
    <xf numFmtId="0" fontId="1" fillId="0" borderId="0" xfId="1"/>
    <xf numFmtId="49" fontId="3" fillId="0" borderId="0" xfId="1" applyNumberFormat="1" applyFont="1" applyFill="1" applyAlignment="1">
      <alignment horizontal="left"/>
    </xf>
    <xf numFmtId="0" fontId="1" fillId="0" borderId="0" xfId="1" applyAlignment="1"/>
    <xf numFmtId="0" fontId="1" fillId="0" borderId="0" xfId="1" applyAlignment="1">
      <alignment horizontal="center"/>
    </xf>
    <xf numFmtId="0" fontId="1" fillId="0" borderId="0" xfId="1" applyAlignment="1">
      <alignment horizontal="center" wrapText="1"/>
    </xf>
    <xf numFmtId="0" fontId="1" fillId="0" borderId="0" xfId="1" applyFill="1" applyAlignment="1">
      <alignment horizontal="center"/>
    </xf>
    <xf numFmtId="164" fontId="1" fillId="0" borderId="0" xfId="1" applyNumberFormat="1"/>
    <xf numFmtId="0" fontId="3" fillId="0" borderId="0" xfId="1" applyFont="1" applyAlignment="1">
      <alignment horizontal="left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49" fontId="0" fillId="0" borderId="0" xfId="0" applyNumberFormat="1"/>
    <xf numFmtId="0" fontId="5" fillId="0" borderId="1" xfId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vertical="center" wrapText="1"/>
    </xf>
    <xf numFmtId="0" fontId="4" fillId="4" borderId="1" xfId="1" applyFont="1" applyFill="1" applyBorder="1"/>
    <xf numFmtId="0" fontId="0" fillId="4" borderId="1" xfId="1" applyFont="1" applyFill="1" applyBorder="1"/>
    <xf numFmtId="0" fontId="4" fillId="4" borderId="1" xfId="1" applyFont="1" applyFill="1" applyBorder="1" applyAlignment="1">
      <alignment wrapText="1"/>
    </xf>
    <xf numFmtId="0" fontId="5" fillId="4" borderId="1" xfId="1" applyFont="1" applyFill="1" applyBorder="1"/>
    <xf numFmtId="0" fontId="5" fillId="4" borderId="1" xfId="1" applyFont="1" applyFill="1" applyBorder="1" applyAlignment="1">
      <alignment wrapText="1"/>
    </xf>
    <xf numFmtId="4" fontId="5" fillId="4" borderId="1" xfId="1" applyNumberFormat="1" applyFont="1" applyFill="1" applyBorder="1"/>
    <xf numFmtId="0" fontId="4" fillId="5" borderId="1" xfId="1" applyFont="1" applyFill="1" applyBorder="1"/>
    <xf numFmtId="0" fontId="0" fillId="5" borderId="1" xfId="1" applyFont="1" applyFill="1" applyBorder="1"/>
    <xf numFmtId="0" fontId="4" fillId="5" borderId="1" xfId="1" applyFont="1" applyFill="1" applyBorder="1" applyAlignment="1">
      <alignment wrapText="1"/>
    </xf>
    <xf numFmtId="0" fontId="5" fillId="5" borderId="1" xfId="1" applyFont="1" applyFill="1" applyBorder="1"/>
    <xf numFmtId="0" fontId="5" fillId="5" borderId="1" xfId="1" applyFont="1" applyFill="1" applyBorder="1" applyAlignment="1">
      <alignment wrapText="1"/>
    </xf>
    <xf numFmtId="4" fontId="5" fillId="5" borderId="1" xfId="1" applyNumberFormat="1" applyFont="1" applyFill="1" applyBorder="1"/>
    <xf numFmtId="14" fontId="5" fillId="5" borderId="1" xfId="1" applyNumberFormat="1" applyFont="1" applyFill="1" applyBorder="1"/>
    <xf numFmtId="0" fontId="0" fillId="5" borderId="0" xfId="0" applyFill="1"/>
    <xf numFmtId="4" fontId="4" fillId="5" borderId="1" xfId="1" applyNumberFormat="1" applyFont="1" applyFill="1" applyBorder="1" applyAlignment="1">
      <alignment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4" fontId="3" fillId="0" borderId="0" xfId="1" applyNumberFormat="1" applyFont="1" applyAlignment="1">
      <alignment horizontal="left" wrapText="1"/>
    </xf>
    <xf numFmtId="0" fontId="3" fillId="2" borderId="0" xfId="1" applyFont="1" applyFill="1" applyAlignment="1">
      <alignment horizontal="left"/>
    </xf>
    <xf numFmtId="49" fontId="4" fillId="3" borderId="1" xfId="1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6" xfId="1" applyNumberFormat="1" applyFont="1" applyFill="1" applyBorder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0" fillId="0" borderId="1" xfId="1" applyFont="1" applyFill="1" applyBorder="1"/>
    <xf numFmtId="0" fontId="4" fillId="0" borderId="1" xfId="1" applyFont="1" applyFill="1" applyBorder="1" applyAlignment="1">
      <alignment wrapText="1"/>
    </xf>
    <xf numFmtId="0" fontId="5" fillId="0" borderId="1" xfId="1" applyFont="1" applyBorder="1"/>
    <xf numFmtId="0" fontId="5" fillId="0" borderId="1" xfId="1" applyFont="1" applyBorder="1" applyAlignment="1">
      <alignment wrapText="1"/>
    </xf>
    <xf numFmtId="4" fontId="5" fillId="0" borderId="1" xfId="1" applyNumberFormat="1" applyFont="1" applyFill="1" applyBorder="1"/>
    <xf numFmtId="14" fontId="5" fillId="0" borderId="1" xfId="1" applyNumberFormat="1" applyFont="1" applyBorder="1"/>
    <xf numFmtId="4" fontId="4" fillId="0" borderId="1" xfId="1" applyNumberFormat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topLeftCell="A4" workbookViewId="0">
      <selection activeCell="E5" sqref="E5:E7"/>
    </sheetView>
  </sheetViews>
  <sheetFormatPr defaultRowHeight="15" outlineLevelRow="3"/>
  <cols>
    <col min="1" max="1" width="22.7109375" customWidth="1"/>
    <col min="4" max="4" width="13.42578125" customWidth="1"/>
    <col min="5" max="5" width="43.85546875" customWidth="1"/>
    <col min="7" max="7" width="13.42578125" customWidth="1"/>
    <col min="8" max="8" width="14" customWidth="1"/>
    <col min="9" max="9" width="12.28515625" customWidth="1"/>
    <col min="10" max="10" width="15" customWidth="1"/>
  </cols>
  <sheetData>
    <row r="1" spans="1:10" ht="15.75" customHeight="1">
      <c r="A1" s="1"/>
      <c r="B1" s="2"/>
      <c r="C1" s="2"/>
      <c r="D1" s="2"/>
      <c r="E1" s="3"/>
      <c r="F1" s="4"/>
      <c r="G1" s="5"/>
      <c r="H1" s="6"/>
      <c r="I1" s="7"/>
      <c r="J1" s="7"/>
    </row>
    <row r="2" spans="1:10" ht="15.75">
      <c r="A2" s="7"/>
      <c r="B2" s="8" t="s">
        <v>0</v>
      </c>
      <c r="C2" s="9"/>
      <c r="D2" s="9"/>
      <c r="E2" s="3"/>
      <c r="F2" s="10"/>
      <c r="G2" s="11"/>
      <c r="H2" s="12"/>
      <c r="I2" s="13"/>
      <c r="J2" s="13"/>
    </row>
    <row r="3" spans="1:10" ht="15.75">
      <c r="B3" s="39"/>
      <c r="C3" s="39"/>
      <c r="D3" s="39"/>
      <c r="E3" s="40"/>
      <c r="F3" s="39"/>
      <c r="G3" s="39"/>
      <c r="H3" s="41"/>
      <c r="I3" s="14"/>
      <c r="J3" s="7"/>
    </row>
    <row r="4" spans="1:10">
      <c r="E4" s="15"/>
      <c r="G4" s="16"/>
      <c r="H4" s="17"/>
    </row>
    <row r="5" spans="1:10" s="18" customFormat="1" ht="33" customHeight="1">
      <c r="A5" s="42" t="s">
        <v>1</v>
      </c>
      <c r="B5" s="42" t="s">
        <v>2</v>
      </c>
      <c r="C5" s="38" t="s">
        <v>3</v>
      </c>
      <c r="D5" s="43" t="s">
        <v>4</v>
      </c>
      <c r="E5" s="46" t="s">
        <v>5</v>
      </c>
      <c r="F5" s="38" t="s">
        <v>6</v>
      </c>
      <c r="G5" s="43" t="s">
        <v>7</v>
      </c>
      <c r="H5" s="47" t="s">
        <v>8</v>
      </c>
      <c r="I5" s="48"/>
      <c r="J5" s="49"/>
    </row>
    <row r="6" spans="1:10" s="18" customFormat="1" ht="12.75" customHeight="1">
      <c r="A6" s="42"/>
      <c r="B6" s="42"/>
      <c r="C6" s="38"/>
      <c r="D6" s="44"/>
      <c r="E6" s="46"/>
      <c r="F6" s="38"/>
      <c r="G6" s="44"/>
      <c r="H6" s="50" t="s">
        <v>9</v>
      </c>
      <c r="I6" s="38" t="s">
        <v>10</v>
      </c>
      <c r="J6" s="38" t="s">
        <v>11</v>
      </c>
    </row>
    <row r="7" spans="1:10" s="18" customFormat="1" ht="48.75" customHeight="1">
      <c r="A7" s="42"/>
      <c r="B7" s="42"/>
      <c r="C7" s="38"/>
      <c r="D7" s="45"/>
      <c r="E7" s="46"/>
      <c r="F7" s="38"/>
      <c r="G7" s="45"/>
      <c r="H7" s="50"/>
      <c r="I7" s="38"/>
      <c r="J7" s="38"/>
    </row>
    <row r="8" spans="1:10" hidden="1">
      <c r="A8" s="19">
        <v>1</v>
      </c>
      <c r="B8" s="20">
        <v>2</v>
      </c>
      <c r="C8" s="20">
        <v>3</v>
      </c>
      <c r="D8" s="20">
        <v>4</v>
      </c>
      <c r="E8" s="21">
        <v>5</v>
      </c>
      <c r="F8" s="20">
        <v>6</v>
      </c>
      <c r="G8" s="20">
        <v>7</v>
      </c>
      <c r="H8" s="22"/>
      <c r="I8" s="20">
        <v>11</v>
      </c>
      <c r="J8" s="20">
        <v>12</v>
      </c>
    </row>
    <row r="9" spans="1:10" s="17" customFormat="1" hidden="1">
      <c r="A9" s="23" t="s">
        <v>12</v>
      </c>
      <c r="B9" s="23"/>
      <c r="C9" s="23"/>
      <c r="D9" s="24"/>
      <c r="E9" s="25"/>
      <c r="F9" s="26"/>
      <c r="G9" s="27"/>
      <c r="H9" s="28"/>
      <c r="I9" s="26"/>
      <c r="J9" s="26"/>
    </row>
    <row r="10" spans="1:10" s="17" customFormat="1" hidden="1" outlineLevel="1">
      <c r="A10" s="23" t="s">
        <v>13</v>
      </c>
      <c r="B10" s="23"/>
      <c r="C10" s="23"/>
      <c r="D10" s="24"/>
      <c r="E10" s="25"/>
      <c r="F10" s="26"/>
      <c r="G10" s="27"/>
      <c r="H10" s="28">
        <v>598617497.99000001</v>
      </c>
      <c r="I10" s="26"/>
      <c r="J10" s="26"/>
    </row>
    <row r="11" spans="1:10" s="36" customFormat="1" ht="26.25" outlineLevel="3">
      <c r="A11" s="29" t="s">
        <v>14</v>
      </c>
      <c r="B11" s="29" t="str">
        <f>"06.300006-ТЭ"</f>
        <v>06.300006-ТЭ</v>
      </c>
      <c r="C11" s="29" t="s">
        <v>15</v>
      </c>
      <c r="D11" s="30"/>
      <c r="E11" s="31" t="s">
        <v>16</v>
      </c>
      <c r="F11" s="32" t="s">
        <v>17</v>
      </c>
      <c r="G11" s="33" t="s">
        <v>18</v>
      </c>
      <c r="H11" s="34">
        <v>2066227.64</v>
      </c>
      <c r="I11" s="32" t="s">
        <v>19</v>
      </c>
      <c r="J11" s="35">
        <v>42460</v>
      </c>
    </row>
    <row r="12" spans="1:10" s="36" customFormat="1" ht="26.25" hidden="1" outlineLevel="3">
      <c r="A12" s="29" t="s">
        <v>14</v>
      </c>
      <c r="B12" s="29" t="str">
        <f>"06.300029-ТЭ"</f>
        <v>06.300029-ТЭ</v>
      </c>
      <c r="C12" s="29" t="s">
        <v>20</v>
      </c>
      <c r="D12" s="30"/>
      <c r="E12" s="31" t="s">
        <v>21</v>
      </c>
      <c r="F12" s="32" t="s">
        <v>17</v>
      </c>
      <c r="G12" s="33" t="s">
        <v>22</v>
      </c>
      <c r="H12" s="34">
        <v>403157.35000000003</v>
      </c>
      <c r="I12" s="32" t="s">
        <v>23</v>
      </c>
      <c r="J12" s="35">
        <v>42460</v>
      </c>
    </row>
    <row r="13" spans="1:10" s="36" customFormat="1" ht="26.25" hidden="1" outlineLevel="3">
      <c r="A13" s="29" t="s">
        <v>14</v>
      </c>
      <c r="B13" s="29" t="str">
        <f>"06.501001-ТЭ"</f>
        <v>06.501001-ТЭ</v>
      </c>
      <c r="C13" s="29" t="s">
        <v>24</v>
      </c>
      <c r="D13" s="30"/>
      <c r="E13" s="31" t="s">
        <v>25</v>
      </c>
      <c r="F13" s="32" t="s">
        <v>17</v>
      </c>
      <c r="G13" s="33" t="s">
        <v>26</v>
      </c>
      <c r="H13" s="34">
        <v>1980841.75</v>
      </c>
      <c r="I13" s="32" t="s">
        <v>27</v>
      </c>
      <c r="J13" s="35">
        <v>42460</v>
      </c>
    </row>
    <row r="14" spans="1:10" s="36" customFormat="1" ht="26.25" hidden="1" outlineLevel="3">
      <c r="A14" s="29" t="s">
        <v>14</v>
      </c>
      <c r="B14" s="29" t="str">
        <f>"06.501001ГВС"</f>
        <v>06.501001ГВС</v>
      </c>
      <c r="C14" s="29" t="s">
        <v>24</v>
      </c>
      <c r="D14" s="30"/>
      <c r="E14" s="31" t="s">
        <v>25</v>
      </c>
      <c r="F14" s="32" t="s">
        <v>17</v>
      </c>
      <c r="G14" s="33" t="s">
        <v>26</v>
      </c>
      <c r="H14" s="34">
        <v>821246.47</v>
      </c>
      <c r="I14" s="32" t="s">
        <v>28</v>
      </c>
      <c r="J14" s="35">
        <v>42460</v>
      </c>
    </row>
    <row r="15" spans="1:10" s="36" customFormat="1" ht="26.25" hidden="1" outlineLevel="3">
      <c r="A15" s="29" t="s">
        <v>14</v>
      </c>
      <c r="B15" s="29" t="str">
        <f>"06.501002-ТЭ"</f>
        <v>06.501002-ТЭ</v>
      </c>
      <c r="C15" s="29" t="s">
        <v>29</v>
      </c>
      <c r="D15" s="30"/>
      <c r="E15" s="31" t="s">
        <v>30</v>
      </c>
      <c r="F15" s="32" t="s">
        <v>17</v>
      </c>
      <c r="G15" s="33" t="s">
        <v>26</v>
      </c>
      <c r="H15" s="34">
        <v>3400878.42</v>
      </c>
      <c r="I15" s="32" t="s">
        <v>31</v>
      </c>
      <c r="J15" s="35">
        <v>42460</v>
      </c>
    </row>
    <row r="16" spans="1:10" s="36" customFormat="1" ht="26.25" hidden="1" outlineLevel="3">
      <c r="A16" s="29" t="s">
        <v>14</v>
      </c>
      <c r="B16" s="29" t="str">
        <f>"06.501002ГВС"</f>
        <v>06.501002ГВС</v>
      </c>
      <c r="C16" s="29" t="s">
        <v>29</v>
      </c>
      <c r="D16" s="30"/>
      <c r="E16" s="31" t="s">
        <v>30</v>
      </c>
      <c r="F16" s="32" t="s">
        <v>17</v>
      </c>
      <c r="G16" s="33" t="s">
        <v>26</v>
      </c>
      <c r="H16" s="34">
        <v>1144953.05</v>
      </c>
      <c r="I16" s="32" t="s">
        <v>31</v>
      </c>
      <c r="J16" s="35">
        <v>42460</v>
      </c>
    </row>
    <row r="17" spans="1:10" s="36" customFormat="1" ht="26.25" hidden="1" outlineLevel="3">
      <c r="A17" s="29" t="s">
        <v>14</v>
      </c>
      <c r="B17" s="29" t="str">
        <f>"06.501003-ТЭ"</f>
        <v>06.501003-ТЭ</v>
      </c>
      <c r="C17" s="29" t="s">
        <v>24</v>
      </c>
      <c r="D17" s="30"/>
      <c r="E17" s="31" t="s">
        <v>32</v>
      </c>
      <c r="F17" s="32" t="s">
        <v>17</v>
      </c>
      <c r="G17" s="33" t="s">
        <v>26</v>
      </c>
      <c r="H17" s="34">
        <v>6123781.4100000001</v>
      </c>
      <c r="I17" s="32" t="s">
        <v>33</v>
      </c>
      <c r="J17" s="35">
        <v>42460</v>
      </c>
    </row>
    <row r="18" spans="1:10" s="36" customFormat="1" ht="26.25" hidden="1" outlineLevel="3">
      <c r="A18" s="29" t="s">
        <v>14</v>
      </c>
      <c r="B18" s="29" t="str">
        <f>"06.501003ГВС"</f>
        <v>06.501003ГВС</v>
      </c>
      <c r="C18" s="29" t="s">
        <v>24</v>
      </c>
      <c r="D18" s="30"/>
      <c r="E18" s="31" t="s">
        <v>32</v>
      </c>
      <c r="F18" s="32" t="s">
        <v>17</v>
      </c>
      <c r="G18" s="33" t="s">
        <v>26</v>
      </c>
      <c r="H18" s="34">
        <v>50000</v>
      </c>
      <c r="I18" s="32" t="s">
        <v>23</v>
      </c>
      <c r="J18" s="35">
        <v>42460</v>
      </c>
    </row>
    <row r="19" spans="1:10" s="36" customFormat="1" ht="26.25" hidden="1" outlineLevel="3">
      <c r="A19" s="29" t="s">
        <v>14</v>
      </c>
      <c r="B19" s="29" t="str">
        <f>"06.501058-ТЭ"</f>
        <v>06.501058-ТЭ</v>
      </c>
      <c r="C19" s="29" t="s">
        <v>24</v>
      </c>
      <c r="D19" s="30"/>
      <c r="E19" s="31" t="s">
        <v>34</v>
      </c>
      <c r="F19" s="32" t="s">
        <v>17</v>
      </c>
      <c r="G19" s="33" t="s">
        <v>35</v>
      </c>
      <c r="H19" s="34">
        <v>381328.30000000005</v>
      </c>
      <c r="I19" s="32" t="s">
        <v>23</v>
      </c>
      <c r="J19" s="35">
        <v>42460</v>
      </c>
    </row>
    <row r="20" spans="1:10" s="36" customFormat="1" ht="26.25" hidden="1" outlineLevel="3">
      <c r="A20" s="29" t="s">
        <v>14</v>
      </c>
      <c r="B20" s="29" t="str">
        <f>"06.501058ГВС"</f>
        <v>06.501058ГВС</v>
      </c>
      <c r="C20" s="29" t="s">
        <v>24</v>
      </c>
      <c r="D20" s="30"/>
      <c r="E20" s="31" t="s">
        <v>34</v>
      </c>
      <c r="F20" s="32" t="s">
        <v>17</v>
      </c>
      <c r="G20" s="33" t="s">
        <v>35</v>
      </c>
      <c r="H20" s="34">
        <v>345784.93000000005</v>
      </c>
      <c r="I20" s="32" t="s">
        <v>28</v>
      </c>
      <c r="J20" s="35">
        <v>42460</v>
      </c>
    </row>
    <row r="21" spans="1:10" s="36" customFormat="1" ht="39" hidden="1" outlineLevel="3">
      <c r="A21" s="29" t="s">
        <v>14</v>
      </c>
      <c r="B21" s="29" t="str">
        <f>"06.510001-ТЭ"</f>
        <v>06.510001-ТЭ</v>
      </c>
      <c r="C21" s="29" t="s">
        <v>24</v>
      </c>
      <c r="D21" s="30"/>
      <c r="E21" s="31" t="s">
        <v>36</v>
      </c>
      <c r="F21" s="32" t="s">
        <v>17</v>
      </c>
      <c r="G21" s="33" t="s">
        <v>37</v>
      </c>
      <c r="H21" s="34">
        <v>554930.48999999987</v>
      </c>
      <c r="I21" s="32" t="s">
        <v>31</v>
      </c>
      <c r="J21" s="35">
        <v>42460</v>
      </c>
    </row>
    <row r="22" spans="1:10" s="36" customFormat="1" ht="26.25" hidden="1" outlineLevel="3">
      <c r="A22" s="29" t="s">
        <v>14</v>
      </c>
      <c r="B22" s="29" t="str">
        <f>"06.510006ГВС"</f>
        <v>06.510006ГВС</v>
      </c>
      <c r="C22" s="29" t="s">
        <v>38</v>
      </c>
      <c r="D22" s="30"/>
      <c r="E22" s="31" t="s">
        <v>39</v>
      </c>
      <c r="F22" s="32" t="s">
        <v>17</v>
      </c>
      <c r="G22" s="33" t="s">
        <v>40</v>
      </c>
      <c r="H22" s="34">
        <v>114536.08000000002</v>
      </c>
      <c r="I22" s="32" t="s">
        <v>28</v>
      </c>
      <c r="J22" s="35">
        <v>42460</v>
      </c>
    </row>
    <row r="23" spans="1:10" s="36" customFormat="1" ht="39" hidden="1" outlineLevel="3">
      <c r="A23" s="29" t="s">
        <v>14</v>
      </c>
      <c r="B23" s="29" t="str">
        <f>"06.510042-ТЭ"</f>
        <v>06.510042-ТЭ</v>
      </c>
      <c r="C23" s="29" t="s">
        <v>41</v>
      </c>
      <c r="D23" s="30"/>
      <c r="E23" s="31" t="s">
        <v>42</v>
      </c>
      <c r="F23" s="32" t="s">
        <v>17</v>
      </c>
      <c r="G23" s="33" t="s">
        <v>37</v>
      </c>
      <c r="H23" s="34">
        <v>236552.97999999998</v>
      </c>
      <c r="I23" s="32" t="s">
        <v>27</v>
      </c>
      <c r="J23" s="35">
        <v>42460</v>
      </c>
    </row>
    <row r="24" spans="1:10" s="36" customFormat="1" ht="39" hidden="1" outlineLevel="3">
      <c r="A24" s="29" t="s">
        <v>14</v>
      </c>
      <c r="B24" s="29" t="str">
        <f>"06.510043-ТЭ"</f>
        <v>06.510043-ТЭ</v>
      </c>
      <c r="C24" s="29" t="s">
        <v>43</v>
      </c>
      <c r="D24" s="30"/>
      <c r="E24" s="31" t="s">
        <v>44</v>
      </c>
      <c r="F24" s="32" t="s">
        <v>17</v>
      </c>
      <c r="G24" s="33" t="s">
        <v>45</v>
      </c>
      <c r="H24" s="34">
        <v>232414.34000000003</v>
      </c>
      <c r="I24" s="32" t="s">
        <v>23</v>
      </c>
      <c r="J24" s="35">
        <v>42460</v>
      </c>
    </row>
    <row r="25" spans="1:10" s="36" customFormat="1" ht="39" hidden="1" outlineLevel="3">
      <c r="A25" s="29" t="s">
        <v>14</v>
      </c>
      <c r="B25" s="29" t="str">
        <f>"06.510045-ТЭ"</f>
        <v>06.510045-ТЭ</v>
      </c>
      <c r="C25" s="29" t="s">
        <v>46</v>
      </c>
      <c r="D25" s="30"/>
      <c r="E25" s="31" t="s">
        <v>47</v>
      </c>
      <c r="F25" s="32" t="s">
        <v>17</v>
      </c>
      <c r="G25" s="33" t="s">
        <v>37</v>
      </c>
      <c r="H25" s="34">
        <v>2261631.2299999995</v>
      </c>
      <c r="I25" s="32" t="s">
        <v>48</v>
      </c>
      <c r="J25" s="35">
        <v>42460</v>
      </c>
    </row>
    <row r="26" spans="1:10" s="36" customFormat="1" ht="39" hidden="1" outlineLevel="3">
      <c r="A26" s="29" t="s">
        <v>14</v>
      </c>
      <c r="B26" s="29" t="str">
        <f>"06.510047-ТЭ"</f>
        <v>06.510047-ТЭ</v>
      </c>
      <c r="C26" s="29" t="s">
        <v>24</v>
      </c>
      <c r="D26" s="30"/>
      <c r="E26" s="31" t="s">
        <v>49</v>
      </c>
      <c r="F26" s="32" t="s">
        <v>17</v>
      </c>
      <c r="G26" s="33" t="s">
        <v>37</v>
      </c>
      <c r="H26" s="34">
        <v>1707359.21</v>
      </c>
      <c r="I26" s="32" t="s">
        <v>27</v>
      </c>
      <c r="J26" s="35">
        <v>42460</v>
      </c>
    </row>
    <row r="27" spans="1:10" s="36" customFormat="1" ht="39" hidden="1" outlineLevel="3">
      <c r="A27" s="29" t="s">
        <v>14</v>
      </c>
      <c r="B27" s="29" t="str">
        <f>"06.510048-ТЭ"</f>
        <v>06.510048-ТЭ</v>
      </c>
      <c r="C27" s="29" t="s">
        <v>46</v>
      </c>
      <c r="D27" s="30"/>
      <c r="E27" s="31" t="s">
        <v>50</v>
      </c>
      <c r="F27" s="32" t="s">
        <v>17</v>
      </c>
      <c r="G27" s="33" t="s">
        <v>37</v>
      </c>
      <c r="H27" s="34">
        <v>348347.82999999996</v>
      </c>
      <c r="I27" s="32" t="s">
        <v>19</v>
      </c>
      <c r="J27" s="35">
        <v>42460</v>
      </c>
    </row>
    <row r="28" spans="1:10" s="36" customFormat="1" ht="39" hidden="1" outlineLevel="3">
      <c r="A28" s="29" t="s">
        <v>14</v>
      </c>
      <c r="B28" s="29" t="str">
        <f>"06.510050-ТЭ"</f>
        <v>06.510050-ТЭ</v>
      </c>
      <c r="C28" s="29" t="s">
        <v>51</v>
      </c>
      <c r="D28" s="30"/>
      <c r="E28" s="31" t="s">
        <v>52</v>
      </c>
      <c r="F28" s="32" t="s">
        <v>17</v>
      </c>
      <c r="G28" s="33" t="s">
        <v>37</v>
      </c>
      <c r="H28" s="34">
        <v>853267.04</v>
      </c>
      <c r="I28" s="32" t="s">
        <v>27</v>
      </c>
      <c r="J28" s="35">
        <v>42460</v>
      </c>
    </row>
    <row r="29" spans="1:10" s="36" customFormat="1" ht="39" hidden="1" outlineLevel="3">
      <c r="A29" s="29" t="s">
        <v>14</v>
      </c>
      <c r="B29" s="29" t="str">
        <f>"06.510051-ТЭ"</f>
        <v>06.510051-ТЭ</v>
      </c>
      <c r="C29" s="29" t="s">
        <v>41</v>
      </c>
      <c r="D29" s="30"/>
      <c r="E29" s="31" t="s">
        <v>53</v>
      </c>
      <c r="F29" s="32" t="s">
        <v>17</v>
      </c>
      <c r="G29" s="33" t="s">
        <v>37</v>
      </c>
      <c r="H29" s="34">
        <v>708297.58</v>
      </c>
      <c r="I29" s="32" t="s">
        <v>28</v>
      </c>
      <c r="J29" s="35">
        <v>42460</v>
      </c>
    </row>
    <row r="30" spans="1:10" s="36" customFormat="1" ht="39" hidden="1" outlineLevel="3">
      <c r="A30" s="29" t="s">
        <v>14</v>
      </c>
      <c r="B30" s="29" t="str">
        <f>"06.510057-ТЭ"</f>
        <v>06.510057-ТЭ</v>
      </c>
      <c r="C30" s="29" t="s">
        <v>54</v>
      </c>
      <c r="D30" s="30"/>
      <c r="E30" s="31" t="s">
        <v>55</v>
      </c>
      <c r="F30" s="32" t="s">
        <v>17</v>
      </c>
      <c r="G30" s="33" t="s">
        <v>45</v>
      </c>
      <c r="H30" s="34">
        <v>1490540.34</v>
      </c>
      <c r="I30" s="32" t="s">
        <v>56</v>
      </c>
      <c r="J30" s="35">
        <v>42460</v>
      </c>
    </row>
    <row r="31" spans="1:10" s="36" customFormat="1" ht="39" hidden="1" outlineLevel="3">
      <c r="A31" s="29" t="s">
        <v>14</v>
      </c>
      <c r="B31" s="29" t="str">
        <f>"06.510057ГВС"</f>
        <v>06.510057ГВС</v>
      </c>
      <c r="C31" s="29" t="s">
        <v>54</v>
      </c>
      <c r="D31" s="30"/>
      <c r="E31" s="31" t="s">
        <v>55</v>
      </c>
      <c r="F31" s="32" t="s">
        <v>17</v>
      </c>
      <c r="G31" s="33" t="s">
        <v>45</v>
      </c>
      <c r="H31" s="34">
        <v>423464.69999999995</v>
      </c>
      <c r="I31" s="32" t="s">
        <v>23</v>
      </c>
      <c r="J31" s="35">
        <v>42460</v>
      </c>
    </row>
    <row r="32" spans="1:10" s="36" customFormat="1" ht="39" hidden="1" outlineLevel="3">
      <c r="A32" s="29" t="s">
        <v>14</v>
      </c>
      <c r="B32" s="29" t="str">
        <f>"06.510059-ТЭ"</f>
        <v>06.510059-ТЭ</v>
      </c>
      <c r="C32" s="29" t="s">
        <v>24</v>
      </c>
      <c r="D32" s="30"/>
      <c r="E32" s="31" t="s">
        <v>57</v>
      </c>
      <c r="F32" s="32" t="s">
        <v>17</v>
      </c>
      <c r="G32" s="33" t="s">
        <v>45</v>
      </c>
      <c r="H32" s="34">
        <v>1439715.7399999998</v>
      </c>
      <c r="I32" s="32" t="s">
        <v>48</v>
      </c>
      <c r="J32" s="35">
        <v>42460</v>
      </c>
    </row>
    <row r="33" spans="1:10" s="36" customFormat="1" ht="39" hidden="1" outlineLevel="3">
      <c r="A33" s="29" t="s">
        <v>14</v>
      </c>
      <c r="B33" s="29" t="str">
        <f>"06.510059ГВС"</f>
        <v>06.510059ГВС</v>
      </c>
      <c r="C33" s="29" t="s">
        <v>24</v>
      </c>
      <c r="D33" s="30"/>
      <c r="E33" s="31" t="s">
        <v>57</v>
      </c>
      <c r="F33" s="32" t="s">
        <v>17</v>
      </c>
      <c r="G33" s="33" t="s">
        <v>45</v>
      </c>
      <c r="H33" s="34">
        <v>267740</v>
      </c>
      <c r="I33" s="32" t="s">
        <v>27</v>
      </c>
      <c r="J33" s="32" t="s">
        <v>19</v>
      </c>
    </row>
    <row r="34" spans="1:10" s="36" customFormat="1" ht="39" hidden="1" outlineLevel="3">
      <c r="A34" s="29" t="s">
        <v>14</v>
      </c>
      <c r="B34" s="29" t="str">
        <f>"06.510061-ТЭ"</f>
        <v>06.510061-ТЭ</v>
      </c>
      <c r="C34" s="29" t="s">
        <v>58</v>
      </c>
      <c r="D34" s="30"/>
      <c r="E34" s="31" t="s">
        <v>59</v>
      </c>
      <c r="F34" s="32" t="s">
        <v>17</v>
      </c>
      <c r="G34" s="33" t="s">
        <v>45</v>
      </c>
      <c r="H34" s="34">
        <v>0.44000000000232831</v>
      </c>
      <c r="I34" s="32" t="s">
        <v>31</v>
      </c>
      <c r="J34" s="35">
        <v>42460</v>
      </c>
    </row>
    <row r="35" spans="1:10" s="36" customFormat="1" ht="39" hidden="1" outlineLevel="3">
      <c r="A35" s="29" t="s">
        <v>14</v>
      </c>
      <c r="B35" s="29" t="str">
        <f>"06.510239-ТЭ"</f>
        <v>06.510239-ТЭ</v>
      </c>
      <c r="C35" s="29" t="s">
        <v>60</v>
      </c>
      <c r="D35" s="30"/>
      <c r="E35" s="31" t="s">
        <v>61</v>
      </c>
      <c r="F35" s="32" t="s">
        <v>17</v>
      </c>
      <c r="G35" s="33" t="s">
        <v>37</v>
      </c>
      <c r="H35" s="34">
        <v>254010.14999999997</v>
      </c>
      <c r="I35" s="32" t="s">
        <v>23</v>
      </c>
      <c r="J35" s="35">
        <v>42460</v>
      </c>
    </row>
    <row r="36" spans="1:10" s="36" customFormat="1" ht="26.25" hidden="1" outlineLevel="3">
      <c r="A36" s="29" t="s">
        <v>14</v>
      </c>
      <c r="B36" s="29" t="str">
        <f>"06.510274-ТЭ"</f>
        <v>06.510274-ТЭ</v>
      </c>
      <c r="C36" s="29" t="s">
        <v>62</v>
      </c>
      <c r="D36" s="30"/>
      <c r="E36" s="31" t="s">
        <v>63</v>
      </c>
      <c r="F36" s="32" t="s">
        <v>17</v>
      </c>
      <c r="G36" s="33" t="s">
        <v>40</v>
      </c>
      <c r="H36" s="34">
        <v>1099762.1399999999</v>
      </c>
      <c r="I36" s="32" t="s">
        <v>28</v>
      </c>
      <c r="J36" s="35">
        <v>42460</v>
      </c>
    </row>
    <row r="37" spans="1:10" s="36" customFormat="1" ht="26.25" hidden="1" outlineLevel="3">
      <c r="A37" s="29" t="s">
        <v>14</v>
      </c>
      <c r="B37" s="29" t="str">
        <f>"06.510274ГВС"</f>
        <v>06.510274ГВС</v>
      </c>
      <c r="C37" s="29" t="s">
        <v>62</v>
      </c>
      <c r="D37" s="30"/>
      <c r="E37" s="31" t="s">
        <v>63</v>
      </c>
      <c r="F37" s="32" t="s">
        <v>17</v>
      </c>
      <c r="G37" s="33" t="s">
        <v>40</v>
      </c>
      <c r="H37" s="34">
        <v>1760151.56</v>
      </c>
      <c r="I37" s="32" t="s">
        <v>56</v>
      </c>
      <c r="J37" s="35">
        <v>42460</v>
      </c>
    </row>
    <row r="38" spans="1:10" s="36" customFormat="1" ht="26.25" hidden="1" outlineLevel="3">
      <c r="A38" s="29" t="s">
        <v>14</v>
      </c>
      <c r="B38" s="29" t="str">
        <f>"06.510276-ТЭ"</f>
        <v>06.510276-ТЭ</v>
      </c>
      <c r="C38" s="29" t="s">
        <v>62</v>
      </c>
      <c r="D38" s="30"/>
      <c r="E38" s="31" t="s">
        <v>64</v>
      </c>
      <c r="F38" s="32" t="s">
        <v>17</v>
      </c>
      <c r="G38" s="33" t="s">
        <v>40</v>
      </c>
      <c r="H38" s="34">
        <v>763861.4</v>
      </c>
      <c r="I38" s="32" t="s">
        <v>31</v>
      </c>
      <c r="J38" s="35">
        <v>42460</v>
      </c>
    </row>
    <row r="39" spans="1:10" s="36" customFormat="1" ht="26.25" hidden="1" outlineLevel="3">
      <c r="A39" s="29" t="s">
        <v>14</v>
      </c>
      <c r="B39" s="29" t="str">
        <f>"06.510276ГВС"</f>
        <v>06.510276ГВС</v>
      </c>
      <c r="C39" s="29" t="s">
        <v>62</v>
      </c>
      <c r="D39" s="30"/>
      <c r="E39" s="31" t="s">
        <v>64</v>
      </c>
      <c r="F39" s="32" t="s">
        <v>17</v>
      </c>
      <c r="G39" s="33" t="s">
        <v>40</v>
      </c>
      <c r="H39" s="34">
        <v>719665.34</v>
      </c>
      <c r="I39" s="32" t="s">
        <v>65</v>
      </c>
      <c r="J39" s="35">
        <v>42460</v>
      </c>
    </row>
    <row r="40" spans="1:10" s="36" customFormat="1" ht="26.25" hidden="1" outlineLevel="3">
      <c r="A40" s="29" t="s">
        <v>14</v>
      </c>
      <c r="B40" s="29" t="str">
        <f>"06.510277-ТЭ"</f>
        <v>06.510277-ТЭ</v>
      </c>
      <c r="C40" s="29" t="s">
        <v>62</v>
      </c>
      <c r="D40" s="30"/>
      <c r="E40" s="31" t="s">
        <v>66</v>
      </c>
      <c r="F40" s="32" t="s">
        <v>17</v>
      </c>
      <c r="G40" s="33" t="s">
        <v>40</v>
      </c>
      <c r="H40" s="34">
        <v>961051.75</v>
      </c>
      <c r="I40" s="32" t="s">
        <v>19</v>
      </c>
      <c r="J40" s="35">
        <v>42460</v>
      </c>
    </row>
    <row r="41" spans="1:10" s="36" customFormat="1" ht="26.25" hidden="1" outlineLevel="3">
      <c r="A41" s="29" t="s">
        <v>14</v>
      </c>
      <c r="B41" s="29" t="str">
        <f>"06.510277ГВС"</f>
        <v>06.510277ГВС</v>
      </c>
      <c r="C41" s="29" t="s">
        <v>62</v>
      </c>
      <c r="D41" s="30"/>
      <c r="E41" s="31" t="s">
        <v>66</v>
      </c>
      <c r="F41" s="32" t="s">
        <v>17</v>
      </c>
      <c r="G41" s="33" t="s">
        <v>40</v>
      </c>
      <c r="H41" s="34">
        <v>1059922.3</v>
      </c>
      <c r="I41" s="32" t="s">
        <v>67</v>
      </c>
      <c r="J41" s="35">
        <v>42460</v>
      </c>
    </row>
    <row r="42" spans="1:10" s="36" customFormat="1" ht="26.25" hidden="1" outlineLevel="3">
      <c r="A42" s="29" t="s">
        <v>14</v>
      </c>
      <c r="B42" s="29" t="str">
        <f>"06.510279-ТЭ"</f>
        <v>06.510279-ТЭ</v>
      </c>
      <c r="C42" s="29" t="s">
        <v>62</v>
      </c>
      <c r="D42" s="30" t="s">
        <v>68</v>
      </c>
      <c r="E42" s="37" t="s">
        <v>69</v>
      </c>
      <c r="F42" s="32" t="s">
        <v>70</v>
      </c>
      <c r="G42" s="33" t="s">
        <v>40</v>
      </c>
      <c r="H42" s="34">
        <v>1216141.05</v>
      </c>
      <c r="I42" s="32" t="s">
        <v>33</v>
      </c>
      <c r="J42" s="32" t="s">
        <v>48</v>
      </c>
    </row>
    <row r="43" spans="1:10" s="36" customFormat="1" ht="26.25" hidden="1" outlineLevel="3">
      <c r="A43" s="29" t="s">
        <v>14</v>
      </c>
      <c r="B43" s="29" t="str">
        <f>"06.510279ГВС"</f>
        <v>06.510279ГВС</v>
      </c>
      <c r="C43" s="29" t="s">
        <v>62</v>
      </c>
      <c r="D43" s="30" t="s">
        <v>68</v>
      </c>
      <c r="E43" s="37" t="s">
        <v>69</v>
      </c>
      <c r="F43" s="32" t="s">
        <v>70</v>
      </c>
      <c r="G43" s="33" t="s">
        <v>40</v>
      </c>
      <c r="H43" s="34">
        <v>1195470.6299999999</v>
      </c>
      <c r="I43" s="32" t="s">
        <v>71</v>
      </c>
      <c r="J43" s="32" t="s">
        <v>68</v>
      </c>
    </row>
    <row r="44" spans="1:10" s="36" customFormat="1" ht="26.25" hidden="1" outlineLevel="3">
      <c r="A44" s="29" t="s">
        <v>14</v>
      </c>
      <c r="B44" s="29" t="str">
        <f>"06.510280-ТЭ"</f>
        <v>06.510280-ТЭ</v>
      </c>
      <c r="C44" s="29" t="s">
        <v>62</v>
      </c>
      <c r="D44" s="30"/>
      <c r="E44" s="31" t="s">
        <v>72</v>
      </c>
      <c r="F44" s="32" t="s">
        <v>17</v>
      </c>
      <c r="G44" s="33" t="s">
        <v>40</v>
      </c>
      <c r="H44" s="34">
        <v>1141922.25</v>
      </c>
      <c r="I44" s="32" t="s">
        <v>31</v>
      </c>
      <c r="J44" s="35">
        <v>42460</v>
      </c>
    </row>
    <row r="45" spans="1:10" s="36" customFormat="1" ht="26.25" hidden="1" outlineLevel="3">
      <c r="A45" s="29" t="s">
        <v>14</v>
      </c>
      <c r="B45" s="29" t="str">
        <f>"06.510280ГВС"</f>
        <v>06.510280ГВС</v>
      </c>
      <c r="C45" s="29" t="s">
        <v>62</v>
      </c>
      <c r="D45" s="30"/>
      <c r="E45" s="31" t="s">
        <v>72</v>
      </c>
      <c r="F45" s="32" t="s">
        <v>17</v>
      </c>
      <c r="G45" s="33" t="s">
        <v>40</v>
      </c>
      <c r="H45" s="34">
        <v>1800306.2200000002</v>
      </c>
      <c r="I45" s="32" t="s">
        <v>33</v>
      </c>
      <c r="J45" s="35">
        <v>42460</v>
      </c>
    </row>
    <row r="46" spans="1:10" s="36" customFormat="1" ht="26.25" hidden="1" outlineLevel="3">
      <c r="A46" s="29" t="s">
        <v>14</v>
      </c>
      <c r="B46" s="29" t="str">
        <f>"06.510282-ТЭ"</f>
        <v>06.510282-ТЭ</v>
      </c>
      <c r="C46" s="29" t="s">
        <v>62</v>
      </c>
      <c r="D46" s="30"/>
      <c r="E46" s="31" t="s">
        <v>73</v>
      </c>
      <c r="F46" s="32" t="s">
        <v>17</v>
      </c>
      <c r="G46" s="33" t="s">
        <v>40</v>
      </c>
      <c r="H46" s="34">
        <v>706766.77</v>
      </c>
      <c r="I46" s="32" t="s">
        <v>28</v>
      </c>
      <c r="J46" s="35">
        <v>42460</v>
      </c>
    </row>
    <row r="47" spans="1:10" s="36" customFormat="1" ht="26.25" hidden="1" outlineLevel="3">
      <c r="A47" s="29" t="s">
        <v>14</v>
      </c>
      <c r="B47" s="29" t="str">
        <f>"06.510282ГВС"</f>
        <v>06.510282ГВС</v>
      </c>
      <c r="C47" s="29" t="s">
        <v>62</v>
      </c>
      <c r="D47" s="30"/>
      <c r="E47" s="31" t="s">
        <v>73</v>
      </c>
      <c r="F47" s="32" t="s">
        <v>17</v>
      </c>
      <c r="G47" s="33" t="s">
        <v>40</v>
      </c>
      <c r="H47" s="34">
        <v>816913.91999999993</v>
      </c>
      <c r="I47" s="32" t="s">
        <v>74</v>
      </c>
      <c r="J47" s="35">
        <v>42460</v>
      </c>
    </row>
    <row r="48" spans="1:10" s="36" customFormat="1" ht="26.25" hidden="1" outlineLevel="3">
      <c r="A48" s="29" t="s">
        <v>14</v>
      </c>
      <c r="B48" s="29" t="str">
        <f>"06.510283-ТЭ"</f>
        <v>06.510283-ТЭ</v>
      </c>
      <c r="C48" s="29" t="s">
        <v>62</v>
      </c>
      <c r="D48" s="30"/>
      <c r="E48" s="31" t="s">
        <v>75</v>
      </c>
      <c r="F48" s="32" t="s">
        <v>17</v>
      </c>
      <c r="G48" s="33" t="s">
        <v>40</v>
      </c>
      <c r="H48" s="34">
        <v>1097552.93</v>
      </c>
      <c r="I48" s="32" t="s">
        <v>31</v>
      </c>
      <c r="J48" s="35">
        <v>42460</v>
      </c>
    </row>
    <row r="49" spans="1:10" s="36" customFormat="1" ht="26.25" hidden="1" outlineLevel="3">
      <c r="A49" s="29" t="s">
        <v>14</v>
      </c>
      <c r="B49" s="29" t="str">
        <f>"06.510283ГВС"</f>
        <v>06.510283ГВС</v>
      </c>
      <c r="C49" s="29" t="s">
        <v>62</v>
      </c>
      <c r="D49" s="30"/>
      <c r="E49" s="31" t="s">
        <v>75</v>
      </c>
      <c r="F49" s="32" t="s">
        <v>17</v>
      </c>
      <c r="G49" s="33" t="s">
        <v>40</v>
      </c>
      <c r="H49" s="34">
        <v>2161828.8199999998</v>
      </c>
      <c r="I49" s="32" t="s">
        <v>56</v>
      </c>
      <c r="J49" s="35">
        <v>42460</v>
      </c>
    </row>
    <row r="50" spans="1:10" s="36" customFormat="1" ht="39" hidden="1" outlineLevel="3">
      <c r="A50" s="29" t="s">
        <v>14</v>
      </c>
      <c r="B50" s="29" t="str">
        <f>"06.510286-ТЭ"</f>
        <v>06.510286-ТЭ</v>
      </c>
      <c r="C50" s="29" t="s">
        <v>51</v>
      </c>
      <c r="D50" s="30"/>
      <c r="E50" s="31" t="s">
        <v>76</v>
      </c>
      <c r="F50" s="32" t="s">
        <v>17</v>
      </c>
      <c r="G50" s="33" t="s">
        <v>37</v>
      </c>
      <c r="H50" s="34">
        <v>703243.57999999984</v>
      </c>
      <c r="I50" s="32" t="s">
        <v>23</v>
      </c>
      <c r="J50" s="35">
        <v>42460</v>
      </c>
    </row>
    <row r="51" spans="1:10" s="36" customFormat="1" ht="39" hidden="1" outlineLevel="3">
      <c r="A51" s="29" t="s">
        <v>14</v>
      </c>
      <c r="B51" s="29" t="str">
        <f>"06.510289-ТЭ"</f>
        <v>06.510289-ТЭ</v>
      </c>
      <c r="C51" s="29" t="s">
        <v>41</v>
      </c>
      <c r="D51" s="30"/>
      <c r="E51" s="31" t="s">
        <v>77</v>
      </c>
      <c r="F51" s="32" t="s">
        <v>17</v>
      </c>
      <c r="G51" s="33" t="s">
        <v>37</v>
      </c>
      <c r="H51" s="34">
        <v>2058592.4299999997</v>
      </c>
      <c r="I51" s="32" t="s">
        <v>78</v>
      </c>
      <c r="J51" s="35">
        <v>42460</v>
      </c>
    </row>
    <row r="52" spans="1:10" s="36" customFormat="1" ht="39" hidden="1" outlineLevel="3">
      <c r="A52" s="29" t="s">
        <v>14</v>
      </c>
      <c r="B52" s="29" t="str">
        <f>"06.510290-ТЭ"</f>
        <v>06.510290-ТЭ</v>
      </c>
      <c r="C52" s="29" t="s">
        <v>79</v>
      </c>
      <c r="D52" s="30"/>
      <c r="E52" s="31" t="s">
        <v>80</v>
      </c>
      <c r="F52" s="32" t="s">
        <v>17</v>
      </c>
      <c r="G52" s="33" t="s">
        <v>45</v>
      </c>
      <c r="H52" s="34">
        <v>398548.01</v>
      </c>
      <c r="I52" s="32" t="s">
        <v>27</v>
      </c>
      <c r="J52" s="35">
        <v>42460</v>
      </c>
    </row>
    <row r="53" spans="1:10" s="36" customFormat="1" ht="39" hidden="1" outlineLevel="3">
      <c r="A53" s="29" t="s">
        <v>14</v>
      </c>
      <c r="B53" s="29" t="str">
        <f>"06.510323-ТЭ"</f>
        <v>06.510323-ТЭ</v>
      </c>
      <c r="C53" s="29" t="s">
        <v>81</v>
      </c>
      <c r="D53" s="30"/>
      <c r="E53" s="31" t="s">
        <v>82</v>
      </c>
      <c r="F53" s="32" t="s">
        <v>17</v>
      </c>
      <c r="G53" s="33" t="s">
        <v>37</v>
      </c>
      <c r="H53" s="34">
        <v>568552.42999999993</v>
      </c>
      <c r="I53" s="32" t="s">
        <v>23</v>
      </c>
      <c r="J53" s="35">
        <v>42460</v>
      </c>
    </row>
    <row r="54" spans="1:10" s="36" customFormat="1" ht="39" hidden="1" outlineLevel="3">
      <c r="A54" s="29" t="s">
        <v>14</v>
      </c>
      <c r="B54" s="29" t="str">
        <f>"06.510337-ТЭ"</f>
        <v>06.510337-ТЭ</v>
      </c>
      <c r="C54" s="29" t="s">
        <v>46</v>
      </c>
      <c r="D54" s="30"/>
      <c r="E54" s="31" t="s">
        <v>83</v>
      </c>
      <c r="F54" s="32" t="s">
        <v>17</v>
      </c>
      <c r="G54" s="33" t="s">
        <v>37</v>
      </c>
      <c r="H54" s="34">
        <v>1884647.7199999997</v>
      </c>
      <c r="I54" s="32" t="s">
        <v>84</v>
      </c>
      <c r="J54" s="35">
        <v>42460</v>
      </c>
    </row>
    <row r="55" spans="1:10" s="36" customFormat="1" ht="39" hidden="1" outlineLevel="3">
      <c r="A55" s="29" t="s">
        <v>14</v>
      </c>
      <c r="B55" s="29" t="str">
        <f>"06.510341-ТЭ"</f>
        <v>06.510341-ТЭ</v>
      </c>
      <c r="C55" s="29" t="s">
        <v>46</v>
      </c>
      <c r="D55" s="30"/>
      <c r="E55" s="31" t="s">
        <v>85</v>
      </c>
      <c r="F55" s="32" t="s">
        <v>17</v>
      </c>
      <c r="G55" s="33" t="s">
        <v>37</v>
      </c>
      <c r="H55" s="34">
        <v>1685027.8600000003</v>
      </c>
      <c r="I55" s="32" t="s">
        <v>27</v>
      </c>
      <c r="J55" s="35">
        <v>42460</v>
      </c>
    </row>
    <row r="56" spans="1:10" s="36" customFormat="1" ht="39" hidden="1" outlineLevel="3">
      <c r="A56" s="29" t="s">
        <v>14</v>
      </c>
      <c r="B56" s="29" t="str">
        <f>"06.510363-ТЭ"</f>
        <v>06.510363-ТЭ</v>
      </c>
      <c r="C56" s="29" t="s">
        <v>24</v>
      </c>
      <c r="D56" s="30"/>
      <c r="E56" s="31" t="s">
        <v>86</v>
      </c>
      <c r="F56" s="32" t="s">
        <v>17</v>
      </c>
      <c r="G56" s="33" t="s">
        <v>45</v>
      </c>
      <c r="H56" s="34">
        <v>1430870.26</v>
      </c>
      <c r="I56" s="32" t="s">
        <v>27</v>
      </c>
      <c r="J56" s="35">
        <v>42460</v>
      </c>
    </row>
    <row r="57" spans="1:10" s="36" customFormat="1" ht="39" hidden="1" outlineLevel="3">
      <c r="A57" s="29" t="s">
        <v>14</v>
      </c>
      <c r="B57" s="29" t="str">
        <f>"06.510363ГВС"</f>
        <v>06.510363ГВС</v>
      </c>
      <c r="C57" s="29" t="s">
        <v>24</v>
      </c>
      <c r="D57" s="30"/>
      <c r="E57" s="31" t="s">
        <v>86</v>
      </c>
      <c r="F57" s="32" t="s">
        <v>17</v>
      </c>
      <c r="G57" s="33" t="s">
        <v>45</v>
      </c>
      <c r="H57" s="34">
        <v>526519.36</v>
      </c>
      <c r="I57" s="32" t="s">
        <v>19</v>
      </c>
      <c r="J57" s="35">
        <v>42460</v>
      </c>
    </row>
    <row r="58" spans="1:10" s="36" customFormat="1" ht="39" hidden="1" outlineLevel="3">
      <c r="A58" s="29" t="s">
        <v>14</v>
      </c>
      <c r="B58" s="29" t="str">
        <f>"06.510368-ТЭ"</f>
        <v>06.510368-ТЭ</v>
      </c>
      <c r="C58" s="29" t="s">
        <v>79</v>
      </c>
      <c r="D58" s="30"/>
      <c r="E58" s="31" t="s">
        <v>87</v>
      </c>
      <c r="F58" s="32" t="s">
        <v>17</v>
      </c>
      <c r="G58" s="33" t="s">
        <v>37</v>
      </c>
      <c r="H58" s="34">
        <v>469187.61000000004</v>
      </c>
      <c r="I58" s="32" t="s">
        <v>28</v>
      </c>
      <c r="J58" s="35">
        <v>42460</v>
      </c>
    </row>
    <row r="59" spans="1:10" s="36" customFormat="1" ht="39" hidden="1" outlineLevel="3">
      <c r="A59" s="29" t="s">
        <v>14</v>
      </c>
      <c r="B59" s="29" t="str">
        <f>"06.510369-ТЭ"</f>
        <v>06.510369-ТЭ</v>
      </c>
      <c r="C59" s="29" t="s">
        <v>79</v>
      </c>
      <c r="D59" s="30"/>
      <c r="E59" s="31" t="s">
        <v>88</v>
      </c>
      <c r="F59" s="32" t="s">
        <v>17</v>
      </c>
      <c r="G59" s="33" t="s">
        <v>37</v>
      </c>
      <c r="H59" s="34">
        <v>1242340.6099999999</v>
      </c>
      <c r="I59" s="32" t="s">
        <v>84</v>
      </c>
      <c r="J59" s="35">
        <v>42460</v>
      </c>
    </row>
    <row r="60" spans="1:10" s="36" customFormat="1" ht="39" hidden="1" outlineLevel="3">
      <c r="A60" s="29" t="s">
        <v>14</v>
      </c>
      <c r="B60" s="29" t="str">
        <f>"06.510386-ТЭ"</f>
        <v>06.510386-ТЭ</v>
      </c>
      <c r="C60" s="29" t="s">
        <v>43</v>
      </c>
      <c r="D60" s="30"/>
      <c r="E60" s="31" t="s">
        <v>89</v>
      </c>
      <c r="F60" s="32" t="s">
        <v>17</v>
      </c>
      <c r="G60" s="33" t="s">
        <v>45</v>
      </c>
      <c r="H60" s="34">
        <v>4840828.3499999996</v>
      </c>
      <c r="I60" s="32" t="s">
        <v>90</v>
      </c>
      <c r="J60" s="35">
        <v>42460</v>
      </c>
    </row>
    <row r="61" spans="1:10" s="36" customFormat="1" ht="39" hidden="1" outlineLevel="3">
      <c r="A61" s="29" t="s">
        <v>14</v>
      </c>
      <c r="B61" s="29" t="str">
        <f>"06.510387-ТЭ"</f>
        <v>06.510387-ТЭ</v>
      </c>
      <c r="C61" s="29" t="s">
        <v>43</v>
      </c>
      <c r="D61" s="30"/>
      <c r="E61" s="31" t="s">
        <v>91</v>
      </c>
      <c r="F61" s="32" t="s">
        <v>17</v>
      </c>
      <c r="G61" s="33" t="s">
        <v>45</v>
      </c>
      <c r="H61" s="34">
        <v>3524574.8700000006</v>
      </c>
      <c r="I61" s="32" t="s">
        <v>31</v>
      </c>
      <c r="J61" s="35">
        <v>42460</v>
      </c>
    </row>
    <row r="62" spans="1:10" s="36" customFormat="1" ht="39" hidden="1" outlineLevel="3">
      <c r="A62" s="29" t="s">
        <v>14</v>
      </c>
      <c r="B62" s="29" t="str">
        <f>"06.510406-ТЭ"</f>
        <v>06.510406-ТЭ</v>
      </c>
      <c r="C62" s="29" t="s">
        <v>43</v>
      </c>
      <c r="D62" s="30"/>
      <c r="E62" s="31" t="s">
        <v>92</v>
      </c>
      <c r="F62" s="32" t="s">
        <v>17</v>
      </c>
      <c r="G62" s="33" t="s">
        <v>37</v>
      </c>
      <c r="H62" s="34">
        <v>488472.93999999983</v>
      </c>
      <c r="I62" s="32" t="s">
        <v>23</v>
      </c>
      <c r="J62" s="35">
        <v>42460</v>
      </c>
    </row>
    <row r="63" spans="1:10" s="36" customFormat="1" ht="39" hidden="1" outlineLevel="3">
      <c r="A63" s="29" t="s">
        <v>14</v>
      </c>
      <c r="B63" s="29" t="str">
        <f>"06.510451-ТЭ"</f>
        <v>06.510451-ТЭ</v>
      </c>
      <c r="C63" s="29" t="s">
        <v>24</v>
      </c>
      <c r="D63" s="30"/>
      <c r="E63" s="31" t="s">
        <v>93</v>
      </c>
      <c r="F63" s="32" t="s">
        <v>17</v>
      </c>
      <c r="G63" s="33" t="s">
        <v>37</v>
      </c>
      <c r="H63" s="34">
        <v>988617.72999999986</v>
      </c>
      <c r="I63" s="32" t="s">
        <v>94</v>
      </c>
      <c r="J63" s="35">
        <v>42460</v>
      </c>
    </row>
    <row r="64" spans="1:10" s="36" customFormat="1" ht="39" hidden="1" outlineLevel="3">
      <c r="A64" s="29" t="s">
        <v>14</v>
      </c>
      <c r="B64" s="29" t="str">
        <f>"06.510451ГВС"</f>
        <v>06.510451ГВС</v>
      </c>
      <c r="C64" s="29" t="s">
        <v>24</v>
      </c>
      <c r="D64" s="30"/>
      <c r="E64" s="31" t="s">
        <v>93</v>
      </c>
      <c r="F64" s="32" t="s">
        <v>17</v>
      </c>
      <c r="G64" s="33" t="s">
        <v>37</v>
      </c>
      <c r="H64" s="34">
        <v>186671.79</v>
      </c>
      <c r="I64" s="32" t="s">
        <v>23</v>
      </c>
      <c r="J64" s="35">
        <v>42460</v>
      </c>
    </row>
    <row r="65" spans="1:10" s="36" customFormat="1" ht="26.25" hidden="1" outlineLevel="3">
      <c r="A65" s="29" t="s">
        <v>14</v>
      </c>
      <c r="B65" s="29" t="str">
        <f>"06.513007-ТЭ"</f>
        <v>06.513007-ТЭ</v>
      </c>
      <c r="C65" s="29" t="s">
        <v>95</v>
      </c>
      <c r="D65" s="30"/>
      <c r="E65" s="31" t="s">
        <v>96</v>
      </c>
      <c r="F65" s="32" t="s">
        <v>17</v>
      </c>
      <c r="G65" s="33" t="s">
        <v>97</v>
      </c>
      <c r="H65" s="34">
        <v>261063.61000000002</v>
      </c>
      <c r="I65" s="32" t="s">
        <v>31</v>
      </c>
      <c r="J65" s="35">
        <v>42460</v>
      </c>
    </row>
    <row r="66" spans="1:10" s="36" customFormat="1" ht="26.25" hidden="1" outlineLevel="3">
      <c r="A66" s="29" t="s">
        <v>14</v>
      </c>
      <c r="B66" s="29" t="str">
        <f>"06.513027-ТЭ"</f>
        <v>06.513027-ТЭ</v>
      </c>
      <c r="C66" s="29" t="s">
        <v>24</v>
      </c>
      <c r="D66" s="30"/>
      <c r="E66" s="31" t="s">
        <v>98</v>
      </c>
      <c r="F66" s="32" t="s">
        <v>17</v>
      </c>
      <c r="G66" s="33" t="s">
        <v>97</v>
      </c>
      <c r="H66" s="34">
        <v>1960.1200000000244</v>
      </c>
      <c r="I66" s="32" t="s">
        <v>19</v>
      </c>
      <c r="J66" s="35">
        <v>42460</v>
      </c>
    </row>
    <row r="67" spans="1:10" s="36" customFormat="1" ht="26.25" hidden="1" outlineLevel="3">
      <c r="A67" s="29" t="s">
        <v>14</v>
      </c>
      <c r="B67" s="29" t="str">
        <f>"06.513058-ТЭ"</f>
        <v>06.513058-ТЭ</v>
      </c>
      <c r="C67" s="29" t="s">
        <v>24</v>
      </c>
      <c r="D67" s="30"/>
      <c r="E67" s="31" t="s">
        <v>99</v>
      </c>
      <c r="F67" s="32" t="s">
        <v>17</v>
      </c>
      <c r="G67" s="33" t="s">
        <v>97</v>
      </c>
      <c r="H67" s="34">
        <v>1117166.6500000001</v>
      </c>
      <c r="I67" s="32" t="s">
        <v>23</v>
      </c>
      <c r="J67" s="35">
        <v>42460</v>
      </c>
    </row>
    <row r="68" spans="1:10" s="36" customFormat="1" ht="26.25" hidden="1" outlineLevel="3">
      <c r="A68" s="29" t="s">
        <v>14</v>
      </c>
      <c r="B68" s="29" t="str">
        <f>"06.513060-ТЭ"</f>
        <v>06.513060-ТЭ</v>
      </c>
      <c r="C68" s="29" t="s">
        <v>41</v>
      </c>
      <c r="D68" s="30"/>
      <c r="E68" s="31" t="s">
        <v>100</v>
      </c>
      <c r="F68" s="32" t="s">
        <v>17</v>
      </c>
      <c r="G68" s="33" t="s">
        <v>97</v>
      </c>
      <c r="H68" s="34">
        <v>612023.99</v>
      </c>
      <c r="I68" s="32" t="s">
        <v>23</v>
      </c>
      <c r="J68" s="35">
        <v>42460</v>
      </c>
    </row>
    <row r="69" spans="1:10" s="36" customFormat="1" ht="26.25" hidden="1" outlineLevel="3">
      <c r="A69" s="29" t="s">
        <v>14</v>
      </c>
      <c r="B69" s="29" t="str">
        <f>"06.513064-ТЭ"</f>
        <v>06.513064-ТЭ</v>
      </c>
      <c r="C69" s="29" t="s">
        <v>101</v>
      </c>
      <c r="D69" s="30"/>
      <c r="E69" s="31" t="s">
        <v>102</v>
      </c>
      <c r="F69" s="32" t="s">
        <v>17</v>
      </c>
      <c r="G69" s="33" t="s">
        <v>97</v>
      </c>
      <c r="H69" s="34">
        <v>899600.61999999988</v>
      </c>
      <c r="I69" s="32" t="s">
        <v>23</v>
      </c>
      <c r="J69" s="35">
        <v>42460</v>
      </c>
    </row>
    <row r="70" spans="1:10" s="36" customFormat="1" ht="26.25" hidden="1" outlineLevel="3">
      <c r="A70" s="29" t="s">
        <v>14</v>
      </c>
      <c r="B70" s="29" t="str">
        <f>"06.513081-ТЭ"</f>
        <v>06.513081-ТЭ</v>
      </c>
      <c r="C70" s="29" t="s">
        <v>24</v>
      </c>
      <c r="D70" s="30"/>
      <c r="E70" s="31" t="s">
        <v>103</v>
      </c>
      <c r="F70" s="32" t="s">
        <v>17</v>
      </c>
      <c r="G70" s="33" t="s">
        <v>97</v>
      </c>
      <c r="H70" s="34">
        <v>618746.08000000007</v>
      </c>
      <c r="I70" s="32" t="s">
        <v>28</v>
      </c>
      <c r="J70" s="35">
        <v>42460</v>
      </c>
    </row>
    <row r="71" spans="1:10" s="36" customFormat="1" ht="26.25" hidden="1" outlineLevel="3">
      <c r="A71" s="29" t="s">
        <v>14</v>
      </c>
      <c r="B71" s="29" t="str">
        <f>"06.513081ГВС"</f>
        <v>06.513081ГВС</v>
      </c>
      <c r="C71" s="29" t="s">
        <v>24</v>
      </c>
      <c r="D71" s="30"/>
      <c r="E71" s="31" t="s">
        <v>103</v>
      </c>
      <c r="F71" s="32" t="s">
        <v>17</v>
      </c>
      <c r="G71" s="33" t="s">
        <v>97</v>
      </c>
      <c r="H71" s="34">
        <v>189184.86</v>
      </c>
      <c r="I71" s="32" t="s">
        <v>28</v>
      </c>
      <c r="J71" s="35">
        <v>42460</v>
      </c>
    </row>
    <row r="72" spans="1:10" s="36" customFormat="1" ht="26.25" hidden="1" outlineLevel="3">
      <c r="A72" s="29" t="s">
        <v>14</v>
      </c>
      <c r="B72" s="29" t="str">
        <f>"06.513083-ТЭ"</f>
        <v>06.513083-ТЭ</v>
      </c>
      <c r="C72" s="29" t="s">
        <v>24</v>
      </c>
      <c r="D72" s="30"/>
      <c r="E72" s="31" t="s">
        <v>104</v>
      </c>
      <c r="F72" s="32" t="s">
        <v>17</v>
      </c>
      <c r="G72" s="33" t="s">
        <v>97</v>
      </c>
      <c r="H72" s="34">
        <v>142231.88</v>
      </c>
      <c r="I72" s="32" t="s">
        <v>27</v>
      </c>
      <c r="J72" s="35">
        <v>42460</v>
      </c>
    </row>
    <row r="73" spans="1:10" s="36" customFormat="1" ht="26.25" hidden="1" outlineLevel="3">
      <c r="A73" s="29" t="s">
        <v>14</v>
      </c>
      <c r="B73" s="29" t="str">
        <f>"06.513087-ТЭ"</f>
        <v>06.513087-ТЭ</v>
      </c>
      <c r="C73" s="29" t="s">
        <v>24</v>
      </c>
      <c r="D73" s="30"/>
      <c r="E73" s="31" t="s">
        <v>105</v>
      </c>
      <c r="F73" s="32" t="s">
        <v>17</v>
      </c>
      <c r="G73" s="33" t="s">
        <v>97</v>
      </c>
      <c r="H73" s="34">
        <v>548614.73</v>
      </c>
      <c r="I73" s="32" t="s">
        <v>19</v>
      </c>
      <c r="J73" s="35">
        <v>42460</v>
      </c>
    </row>
    <row r="74" spans="1:10" s="36" customFormat="1" ht="26.25" hidden="1" outlineLevel="3">
      <c r="A74" s="29" t="s">
        <v>14</v>
      </c>
      <c r="B74" s="29" t="str">
        <f>"06.513087ГВС"</f>
        <v>06.513087ГВС</v>
      </c>
      <c r="C74" s="29" t="s">
        <v>24</v>
      </c>
      <c r="D74" s="30"/>
      <c r="E74" s="31" t="s">
        <v>105</v>
      </c>
      <c r="F74" s="32" t="s">
        <v>17</v>
      </c>
      <c r="G74" s="33" t="s">
        <v>97</v>
      </c>
      <c r="H74" s="34">
        <v>10471.919999999998</v>
      </c>
      <c r="I74" s="32" t="s">
        <v>23</v>
      </c>
      <c r="J74" s="35">
        <v>42460</v>
      </c>
    </row>
    <row r="75" spans="1:10" s="36" customFormat="1" ht="26.25" hidden="1" outlineLevel="3">
      <c r="A75" s="29" t="s">
        <v>14</v>
      </c>
      <c r="B75" s="29" t="str">
        <f>"06.513089-ТЭ"</f>
        <v>06.513089-ТЭ</v>
      </c>
      <c r="C75" s="29" t="s">
        <v>24</v>
      </c>
      <c r="D75" s="30"/>
      <c r="E75" s="31" t="s">
        <v>106</v>
      </c>
      <c r="F75" s="32" t="s">
        <v>17</v>
      </c>
      <c r="G75" s="33" t="s">
        <v>97</v>
      </c>
      <c r="H75" s="34">
        <v>63219.09</v>
      </c>
      <c r="I75" s="32" t="s">
        <v>19</v>
      </c>
      <c r="J75" s="35">
        <v>42460</v>
      </c>
    </row>
    <row r="76" spans="1:10" s="36" customFormat="1" ht="26.25" hidden="1" outlineLevel="3">
      <c r="A76" s="29" t="s">
        <v>14</v>
      </c>
      <c r="B76" s="29" t="str">
        <f>"06.513089ГВС"</f>
        <v>06.513089ГВС</v>
      </c>
      <c r="C76" s="29" t="s">
        <v>24</v>
      </c>
      <c r="D76" s="30"/>
      <c r="E76" s="31" t="s">
        <v>106</v>
      </c>
      <c r="F76" s="32" t="s">
        <v>17</v>
      </c>
      <c r="G76" s="33" t="s">
        <v>97</v>
      </c>
      <c r="H76" s="34">
        <v>1.4200000000128057</v>
      </c>
      <c r="I76" s="32" t="s">
        <v>31</v>
      </c>
      <c r="J76" s="35">
        <v>42460</v>
      </c>
    </row>
    <row r="77" spans="1:10" s="36" customFormat="1" ht="26.25" hidden="1" outlineLevel="3">
      <c r="A77" s="29" t="s">
        <v>14</v>
      </c>
      <c r="B77" s="29" t="str">
        <f>"06.513097-ТЭ"</f>
        <v>06.513097-ТЭ</v>
      </c>
      <c r="C77" s="29" t="s">
        <v>24</v>
      </c>
      <c r="D77" s="30"/>
      <c r="E77" s="31" t="s">
        <v>107</v>
      </c>
      <c r="F77" s="32" t="s">
        <v>17</v>
      </c>
      <c r="G77" s="33" t="s">
        <v>97</v>
      </c>
      <c r="H77" s="34">
        <v>330429.82</v>
      </c>
      <c r="I77" s="32" t="s">
        <v>23</v>
      </c>
      <c r="J77" s="35">
        <v>42460</v>
      </c>
    </row>
    <row r="78" spans="1:10" s="36" customFormat="1" ht="26.25" hidden="1" outlineLevel="3">
      <c r="A78" s="29" t="s">
        <v>14</v>
      </c>
      <c r="B78" s="29" t="str">
        <f>"06.513276-ТЭ"</f>
        <v>06.513276-ТЭ</v>
      </c>
      <c r="C78" s="29" t="s">
        <v>24</v>
      </c>
      <c r="D78" s="30"/>
      <c r="E78" s="31" t="s">
        <v>108</v>
      </c>
      <c r="F78" s="32" t="s">
        <v>17</v>
      </c>
      <c r="G78" s="33" t="s">
        <v>97</v>
      </c>
      <c r="H78" s="34">
        <v>2810304.89</v>
      </c>
      <c r="I78" s="32" t="s">
        <v>109</v>
      </c>
      <c r="J78" s="35">
        <v>42460</v>
      </c>
    </row>
    <row r="79" spans="1:10" s="36" customFormat="1" ht="26.25" hidden="1" outlineLevel="3">
      <c r="A79" s="29" t="s">
        <v>14</v>
      </c>
      <c r="B79" s="29" t="str">
        <f>"06.513276ГВС"</f>
        <v>06.513276ГВС</v>
      </c>
      <c r="C79" s="29" t="s">
        <v>24</v>
      </c>
      <c r="D79" s="30"/>
      <c r="E79" s="31" t="s">
        <v>108</v>
      </c>
      <c r="F79" s="32" t="s">
        <v>17</v>
      </c>
      <c r="G79" s="33" t="s">
        <v>97</v>
      </c>
      <c r="H79" s="34">
        <v>639283.84</v>
      </c>
      <c r="I79" s="32" t="s">
        <v>23</v>
      </c>
      <c r="J79" s="35">
        <v>42460</v>
      </c>
    </row>
    <row r="80" spans="1:10" s="36" customFormat="1" ht="26.25" hidden="1" outlineLevel="3">
      <c r="A80" s="29" t="s">
        <v>14</v>
      </c>
      <c r="B80" s="29" t="str">
        <f>"06.513282-ТЭ"</f>
        <v>06.513282-ТЭ</v>
      </c>
      <c r="C80" s="29" t="s">
        <v>51</v>
      </c>
      <c r="D80" s="30"/>
      <c r="E80" s="31" t="s">
        <v>110</v>
      </c>
      <c r="F80" s="32" t="s">
        <v>17</v>
      </c>
      <c r="G80" s="33" t="s">
        <v>97</v>
      </c>
      <c r="H80" s="34">
        <v>424992.36999999994</v>
      </c>
      <c r="I80" s="32" t="s">
        <v>23</v>
      </c>
      <c r="J80" s="35">
        <v>42460</v>
      </c>
    </row>
    <row r="81" spans="1:10" s="36" customFormat="1" ht="26.25" hidden="1" outlineLevel="3">
      <c r="A81" s="29" t="s">
        <v>14</v>
      </c>
      <c r="B81" s="29" t="str">
        <f>"06.514055-ТЭ"</f>
        <v>06.514055-ТЭ</v>
      </c>
      <c r="C81" s="29" t="s">
        <v>24</v>
      </c>
      <c r="D81" s="30"/>
      <c r="E81" s="31" t="s">
        <v>111</v>
      </c>
      <c r="F81" s="32" t="s">
        <v>17</v>
      </c>
      <c r="G81" s="33" t="s">
        <v>112</v>
      </c>
      <c r="H81" s="34">
        <v>1.9999999989522621E-2</v>
      </c>
      <c r="I81" s="32" t="s">
        <v>27</v>
      </c>
      <c r="J81" s="35">
        <v>42460</v>
      </c>
    </row>
    <row r="82" spans="1:10" s="36" customFormat="1" ht="26.25" hidden="1" outlineLevel="3">
      <c r="A82" s="29" t="s">
        <v>14</v>
      </c>
      <c r="B82" s="29" t="str">
        <f>"06.518016-ТЭ"</f>
        <v>06.518016-ТЭ</v>
      </c>
      <c r="C82" s="29" t="s">
        <v>24</v>
      </c>
      <c r="D82" s="30"/>
      <c r="E82" s="31" t="s">
        <v>113</v>
      </c>
      <c r="F82" s="32" t="s">
        <v>17</v>
      </c>
      <c r="G82" s="33" t="s">
        <v>22</v>
      </c>
      <c r="H82" s="34">
        <v>200000</v>
      </c>
      <c r="I82" s="32" t="s">
        <v>23</v>
      </c>
      <c r="J82" s="35">
        <v>42460</v>
      </c>
    </row>
    <row r="83" spans="1:10" s="36" customFormat="1" ht="26.25" hidden="1" outlineLevel="3">
      <c r="A83" s="29" t="s">
        <v>14</v>
      </c>
      <c r="B83" s="29" t="str">
        <f>"06.518068-ТЭ"</f>
        <v>06.518068-ТЭ</v>
      </c>
      <c r="C83" s="29" t="s">
        <v>41</v>
      </c>
      <c r="D83" s="30"/>
      <c r="E83" s="31" t="s">
        <v>114</v>
      </c>
      <c r="F83" s="32" t="s">
        <v>17</v>
      </c>
      <c r="G83" s="33" t="s">
        <v>22</v>
      </c>
      <c r="H83" s="34">
        <v>190388.08000000007</v>
      </c>
      <c r="I83" s="32" t="s">
        <v>115</v>
      </c>
      <c r="J83" s="35">
        <v>42460</v>
      </c>
    </row>
    <row r="84" spans="1:10" s="36" customFormat="1" ht="26.25" hidden="1" outlineLevel="3">
      <c r="A84" s="29" t="s">
        <v>14</v>
      </c>
      <c r="B84" s="29" t="str">
        <f>"06.518075-ТЭ"</f>
        <v>06.518075-ТЭ</v>
      </c>
      <c r="C84" s="29" t="s">
        <v>116</v>
      </c>
      <c r="D84" s="30"/>
      <c r="E84" s="31" t="s">
        <v>117</v>
      </c>
      <c r="F84" s="32" t="s">
        <v>17</v>
      </c>
      <c r="G84" s="33" t="s">
        <v>40</v>
      </c>
      <c r="H84" s="34">
        <v>107325.16</v>
      </c>
      <c r="I84" s="32" t="s">
        <v>23</v>
      </c>
      <c r="J84" s="35">
        <v>42460</v>
      </c>
    </row>
    <row r="85" spans="1:10" s="36" customFormat="1" ht="26.25" hidden="1" outlineLevel="3">
      <c r="A85" s="29" t="s">
        <v>14</v>
      </c>
      <c r="B85" s="29" t="str">
        <f>"06.518097-ТЭ"</f>
        <v>06.518097-ТЭ</v>
      </c>
      <c r="C85" s="29" t="s">
        <v>118</v>
      </c>
      <c r="D85" s="30"/>
      <c r="E85" s="31" t="s">
        <v>119</v>
      </c>
      <c r="F85" s="32" t="s">
        <v>17</v>
      </c>
      <c r="G85" s="33" t="s">
        <v>22</v>
      </c>
      <c r="H85" s="34">
        <v>423458.5</v>
      </c>
      <c r="I85" s="32" t="s">
        <v>19</v>
      </c>
      <c r="J85" s="35">
        <v>42460</v>
      </c>
    </row>
    <row r="86" spans="1:10" s="36" customFormat="1" ht="26.25" hidden="1" outlineLevel="3">
      <c r="A86" s="29" t="s">
        <v>14</v>
      </c>
      <c r="B86" s="29" t="str">
        <f>"06.518402-ТЭ"</f>
        <v>06.518402-ТЭ</v>
      </c>
      <c r="C86" s="29" t="s">
        <v>120</v>
      </c>
      <c r="D86" s="30"/>
      <c r="E86" s="31" t="s">
        <v>121</v>
      </c>
      <c r="F86" s="32" t="s">
        <v>17</v>
      </c>
      <c r="G86" s="33" t="s">
        <v>22</v>
      </c>
      <c r="H86" s="34">
        <v>150000.07000000007</v>
      </c>
      <c r="I86" s="32" t="s">
        <v>48</v>
      </c>
      <c r="J86" s="35">
        <v>42460</v>
      </c>
    </row>
    <row r="87" spans="1:10" s="36" customFormat="1" ht="26.25" hidden="1" outlineLevel="3">
      <c r="A87" s="29" t="s">
        <v>14</v>
      </c>
      <c r="B87" s="29" t="str">
        <f>"06.518403-ТЭ"</f>
        <v>06.518403-ТЭ</v>
      </c>
      <c r="C87" s="29" t="s">
        <v>122</v>
      </c>
      <c r="D87" s="30"/>
      <c r="E87" s="31" t="s">
        <v>123</v>
      </c>
      <c r="F87" s="32" t="s">
        <v>17</v>
      </c>
      <c r="G87" s="33" t="s">
        <v>22</v>
      </c>
      <c r="H87" s="34">
        <v>2104583.19</v>
      </c>
      <c r="I87" s="32" t="s">
        <v>90</v>
      </c>
      <c r="J87" s="35">
        <v>42460</v>
      </c>
    </row>
    <row r="88" spans="1:10" s="36" customFormat="1" ht="26.25" hidden="1" outlineLevel="3">
      <c r="A88" s="29" t="s">
        <v>14</v>
      </c>
      <c r="B88" s="29" t="str">
        <f>"06.518501-ТЭ"</f>
        <v>06.518501-ТЭ</v>
      </c>
      <c r="C88" s="29" t="s">
        <v>20</v>
      </c>
      <c r="D88" s="30"/>
      <c r="E88" s="31" t="s">
        <v>124</v>
      </c>
      <c r="F88" s="32" t="s">
        <v>17</v>
      </c>
      <c r="G88" s="33" t="s">
        <v>40</v>
      </c>
      <c r="H88" s="34">
        <v>2013914.4099999997</v>
      </c>
      <c r="I88" s="32" t="s">
        <v>27</v>
      </c>
      <c r="J88" s="35">
        <v>42460</v>
      </c>
    </row>
    <row r="89" spans="1:10" s="36" customFormat="1" hidden="1" outlineLevel="3">
      <c r="A89" s="29" t="s">
        <v>14</v>
      </c>
      <c r="B89" s="29" t="str">
        <f>"06.520005-ТЭ"</f>
        <v>06.520005-ТЭ</v>
      </c>
      <c r="C89" s="29" t="s">
        <v>24</v>
      </c>
      <c r="D89" s="30"/>
      <c r="E89" s="31" t="s">
        <v>125</v>
      </c>
      <c r="F89" s="32" t="s">
        <v>17</v>
      </c>
      <c r="G89" s="33" t="s">
        <v>126</v>
      </c>
      <c r="H89" s="34">
        <v>930818.85999999987</v>
      </c>
      <c r="I89" s="32" t="s">
        <v>27</v>
      </c>
      <c r="J89" s="35">
        <v>42460</v>
      </c>
    </row>
    <row r="90" spans="1:10" s="36" customFormat="1" hidden="1" outlineLevel="3">
      <c r="A90" s="29" t="s">
        <v>14</v>
      </c>
      <c r="B90" s="29" t="str">
        <f>"06.520005ГВС"</f>
        <v>06.520005ГВС</v>
      </c>
      <c r="C90" s="29" t="s">
        <v>24</v>
      </c>
      <c r="D90" s="30"/>
      <c r="E90" s="31" t="s">
        <v>125</v>
      </c>
      <c r="F90" s="32" t="s">
        <v>17</v>
      </c>
      <c r="G90" s="33" t="s">
        <v>126</v>
      </c>
      <c r="H90" s="34">
        <v>145000</v>
      </c>
      <c r="I90" s="32" t="s">
        <v>19</v>
      </c>
      <c r="J90" s="35">
        <v>42460</v>
      </c>
    </row>
    <row r="91" spans="1:10" s="36" customFormat="1" hidden="1" outlineLevel="3">
      <c r="A91" s="29" t="s">
        <v>14</v>
      </c>
      <c r="B91" s="29" t="str">
        <f>"06.520006-ТЭ"</f>
        <v>06.520006-ТЭ</v>
      </c>
      <c r="C91" s="29" t="s">
        <v>62</v>
      </c>
      <c r="D91" s="30"/>
      <c r="E91" s="31" t="s">
        <v>127</v>
      </c>
      <c r="F91" s="32" t="s">
        <v>17</v>
      </c>
      <c r="G91" s="33" t="s">
        <v>126</v>
      </c>
      <c r="H91" s="34">
        <v>574765.95000000007</v>
      </c>
      <c r="I91" s="32" t="s">
        <v>28</v>
      </c>
      <c r="J91" s="35">
        <v>42460</v>
      </c>
    </row>
    <row r="92" spans="1:10" s="36" customFormat="1" ht="26.25" hidden="1" outlineLevel="3">
      <c r="A92" s="29" t="s">
        <v>14</v>
      </c>
      <c r="B92" s="29" t="str">
        <f>"06.520011-ТЭ"</f>
        <v>06.520011-ТЭ</v>
      </c>
      <c r="C92" s="29" t="s">
        <v>62</v>
      </c>
      <c r="D92" s="30"/>
      <c r="E92" s="31" t="s">
        <v>128</v>
      </c>
      <c r="F92" s="32" t="s">
        <v>17</v>
      </c>
      <c r="G92" s="33" t="s">
        <v>97</v>
      </c>
      <c r="H92" s="34">
        <v>281918.20999999996</v>
      </c>
      <c r="I92" s="32" t="s">
        <v>19</v>
      </c>
      <c r="J92" s="35">
        <v>42460</v>
      </c>
    </row>
    <row r="93" spans="1:10" s="36" customFormat="1" ht="26.25" hidden="1" outlineLevel="3">
      <c r="A93" s="29" t="s">
        <v>14</v>
      </c>
      <c r="B93" s="29" t="str">
        <f>"06.520013-ТЭ"</f>
        <v>06.520013-ТЭ</v>
      </c>
      <c r="C93" s="29" t="s">
        <v>129</v>
      </c>
      <c r="D93" s="30"/>
      <c r="E93" s="31" t="s">
        <v>130</v>
      </c>
      <c r="F93" s="32" t="s">
        <v>17</v>
      </c>
      <c r="G93" s="33" t="s">
        <v>126</v>
      </c>
      <c r="H93" s="34">
        <v>2365283.1900000004</v>
      </c>
      <c r="I93" s="32" t="s">
        <v>27</v>
      </c>
      <c r="J93" s="35">
        <v>42460</v>
      </c>
    </row>
    <row r="94" spans="1:10" s="36" customFormat="1" ht="26.25" hidden="1" outlineLevel="3">
      <c r="A94" s="29" t="s">
        <v>14</v>
      </c>
      <c r="B94" s="29" t="str">
        <f>"06.520013ГВС"</f>
        <v>06.520013ГВС</v>
      </c>
      <c r="C94" s="29" t="s">
        <v>129</v>
      </c>
      <c r="D94" s="30"/>
      <c r="E94" s="31" t="s">
        <v>130</v>
      </c>
      <c r="F94" s="32" t="s">
        <v>17</v>
      </c>
      <c r="G94" s="33" t="s">
        <v>126</v>
      </c>
      <c r="H94" s="34">
        <v>363826.33</v>
      </c>
      <c r="I94" s="32" t="s">
        <v>23</v>
      </c>
      <c r="J94" s="35">
        <v>42460</v>
      </c>
    </row>
    <row r="95" spans="1:10" s="36" customFormat="1" hidden="1" outlineLevel="3">
      <c r="A95" s="29" t="s">
        <v>14</v>
      </c>
      <c r="B95" s="29" t="str">
        <f>"06.520014-ТЭ"</f>
        <v>06.520014-ТЭ</v>
      </c>
      <c r="C95" s="29" t="s">
        <v>131</v>
      </c>
      <c r="D95" s="30"/>
      <c r="E95" s="31" t="s">
        <v>132</v>
      </c>
      <c r="F95" s="32" t="s">
        <v>17</v>
      </c>
      <c r="G95" s="33" t="s">
        <v>126</v>
      </c>
      <c r="H95" s="34">
        <v>324110.99</v>
      </c>
      <c r="I95" s="32" t="s">
        <v>23</v>
      </c>
      <c r="J95" s="35">
        <v>42460</v>
      </c>
    </row>
    <row r="96" spans="1:10" s="36" customFormat="1" hidden="1" outlineLevel="3">
      <c r="A96" s="29" t="s">
        <v>14</v>
      </c>
      <c r="B96" s="29" t="str">
        <f>"06.520017-ТЭ"</f>
        <v>06.520017-ТЭ</v>
      </c>
      <c r="C96" s="29" t="s">
        <v>118</v>
      </c>
      <c r="D96" s="30"/>
      <c r="E96" s="31" t="s">
        <v>133</v>
      </c>
      <c r="F96" s="32" t="s">
        <v>17</v>
      </c>
      <c r="G96" s="33" t="s">
        <v>126</v>
      </c>
      <c r="H96" s="34">
        <v>736829.89</v>
      </c>
      <c r="I96" s="32" t="s">
        <v>19</v>
      </c>
      <c r="J96" s="35">
        <v>42460</v>
      </c>
    </row>
    <row r="97" spans="1:10" s="36" customFormat="1" ht="26.25" hidden="1" outlineLevel="3">
      <c r="A97" s="29" t="s">
        <v>14</v>
      </c>
      <c r="B97" s="29" t="str">
        <f>"06.520031-ТЭ"</f>
        <v>06.520031-ТЭ</v>
      </c>
      <c r="C97" s="29" t="s">
        <v>58</v>
      </c>
      <c r="D97" s="30"/>
      <c r="E97" s="31" t="s">
        <v>134</v>
      </c>
      <c r="F97" s="32" t="s">
        <v>17</v>
      </c>
      <c r="G97" s="33" t="s">
        <v>97</v>
      </c>
      <c r="H97" s="34">
        <v>959798.82999999984</v>
      </c>
      <c r="I97" s="32" t="s">
        <v>31</v>
      </c>
      <c r="J97" s="35">
        <v>42460</v>
      </c>
    </row>
    <row r="98" spans="1:10" s="36" customFormat="1" ht="26.25" hidden="1" outlineLevel="3">
      <c r="A98" s="29" t="s">
        <v>14</v>
      </c>
      <c r="B98" s="29" t="str">
        <f>"06.520080-ТЭ"</f>
        <v>06.520080-ТЭ</v>
      </c>
      <c r="C98" s="29" t="s">
        <v>135</v>
      </c>
      <c r="D98" s="30"/>
      <c r="E98" s="31" t="s">
        <v>136</v>
      </c>
      <c r="F98" s="32" t="s">
        <v>17</v>
      </c>
      <c r="G98" s="33" t="s">
        <v>22</v>
      </c>
      <c r="H98" s="34">
        <v>579039.74</v>
      </c>
      <c r="I98" s="32" t="s">
        <v>19</v>
      </c>
      <c r="J98" s="35">
        <v>42460</v>
      </c>
    </row>
    <row r="99" spans="1:10" s="36" customFormat="1" ht="26.25" hidden="1" outlineLevel="3">
      <c r="A99" s="29" t="s">
        <v>14</v>
      </c>
      <c r="B99" s="29" t="str">
        <f>"06.520094-ТЭ"</f>
        <v>06.520094-ТЭ</v>
      </c>
      <c r="C99" s="29" t="s">
        <v>51</v>
      </c>
      <c r="D99" s="30"/>
      <c r="E99" s="31" t="s">
        <v>137</v>
      </c>
      <c r="F99" s="32" t="s">
        <v>17</v>
      </c>
      <c r="G99" s="33" t="s">
        <v>22</v>
      </c>
      <c r="H99" s="34">
        <v>1014841.6499999999</v>
      </c>
      <c r="I99" s="32" t="s">
        <v>19</v>
      </c>
      <c r="J99" s="35">
        <v>42460</v>
      </c>
    </row>
    <row r="100" spans="1:10" s="36" customFormat="1" ht="26.25" hidden="1" outlineLevel="3">
      <c r="A100" s="29" t="s">
        <v>14</v>
      </c>
      <c r="B100" s="29" t="str">
        <f>"06.520202-ТЭ"</f>
        <v>06.520202-ТЭ</v>
      </c>
      <c r="C100" s="29" t="s">
        <v>138</v>
      </c>
      <c r="D100" s="30"/>
      <c r="E100" s="31" t="s">
        <v>139</v>
      </c>
      <c r="F100" s="32" t="s">
        <v>17</v>
      </c>
      <c r="G100" s="33" t="s">
        <v>22</v>
      </c>
      <c r="H100" s="34">
        <v>2204344.48</v>
      </c>
      <c r="I100" s="32" t="s">
        <v>28</v>
      </c>
      <c r="J100" s="35">
        <v>42460</v>
      </c>
    </row>
    <row r="101" spans="1:10" s="36" customFormat="1" ht="26.25" hidden="1" outlineLevel="3">
      <c r="A101" s="29" t="s">
        <v>14</v>
      </c>
      <c r="B101" s="29" t="str">
        <f>"06.520202ГВС"</f>
        <v>06.520202ГВС</v>
      </c>
      <c r="C101" s="29" t="s">
        <v>138</v>
      </c>
      <c r="D101" s="30"/>
      <c r="E101" s="31" t="s">
        <v>139</v>
      </c>
      <c r="F101" s="32" t="s">
        <v>17</v>
      </c>
      <c r="G101" s="33" t="s">
        <v>22</v>
      </c>
      <c r="H101" s="34">
        <v>457775.59</v>
      </c>
      <c r="I101" s="32" t="s">
        <v>19</v>
      </c>
      <c r="J101" s="35">
        <v>42460</v>
      </c>
    </row>
    <row r="102" spans="1:10" s="36" customFormat="1" ht="26.25" hidden="1" outlineLevel="3">
      <c r="A102" s="29" t="s">
        <v>14</v>
      </c>
      <c r="B102" s="29" t="str">
        <f>"06.520205ГВС"</f>
        <v>06.520205ГВС</v>
      </c>
      <c r="C102" s="29" t="s">
        <v>138</v>
      </c>
      <c r="D102" s="30"/>
      <c r="E102" s="31" t="s">
        <v>140</v>
      </c>
      <c r="F102" s="32" t="s">
        <v>17</v>
      </c>
      <c r="G102" s="33" t="s">
        <v>22</v>
      </c>
      <c r="H102" s="34">
        <v>206231.79</v>
      </c>
      <c r="I102" s="32" t="s">
        <v>141</v>
      </c>
      <c r="J102" s="35">
        <v>42460</v>
      </c>
    </row>
    <row r="103" spans="1:10" s="36" customFormat="1" hidden="1" outlineLevel="3">
      <c r="A103" s="29" t="s">
        <v>14</v>
      </c>
      <c r="B103" s="29" t="str">
        <f>"06.520223-ТЭ"</f>
        <v>06.520223-ТЭ</v>
      </c>
      <c r="C103" s="29" t="s">
        <v>24</v>
      </c>
      <c r="D103" s="30"/>
      <c r="E103" s="31" t="s">
        <v>142</v>
      </c>
      <c r="F103" s="32" t="s">
        <v>17</v>
      </c>
      <c r="G103" s="33" t="s">
        <v>126</v>
      </c>
      <c r="H103" s="34">
        <v>673721.95</v>
      </c>
      <c r="I103" s="32" t="s">
        <v>94</v>
      </c>
      <c r="J103" s="35">
        <v>42460</v>
      </c>
    </row>
    <row r="104" spans="1:10" s="36" customFormat="1" hidden="1" outlineLevel="3">
      <c r="A104" s="29" t="s">
        <v>14</v>
      </c>
      <c r="B104" s="29" t="str">
        <f>"06.520240-ТЭ"</f>
        <v>06.520240-ТЭ</v>
      </c>
      <c r="C104" s="29" t="s">
        <v>81</v>
      </c>
      <c r="D104" s="30"/>
      <c r="E104" s="31" t="s">
        <v>143</v>
      </c>
      <c r="F104" s="32" t="s">
        <v>17</v>
      </c>
      <c r="G104" s="33" t="s">
        <v>126</v>
      </c>
      <c r="H104" s="34">
        <v>3356199.42</v>
      </c>
      <c r="I104" s="32" t="s">
        <v>144</v>
      </c>
      <c r="J104" s="35">
        <v>42460</v>
      </c>
    </row>
    <row r="105" spans="1:10" s="36" customFormat="1" ht="26.25" hidden="1" outlineLevel="3">
      <c r="A105" s="29" t="s">
        <v>14</v>
      </c>
      <c r="B105" s="29" t="str">
        <f>"06.520257-ТЭ"</f>
        <v>06.520257-ТЭ</v>
      </c>
      <c r="C105" s="29" t="s">
        <v>24</v>
      </c>
      <c r="D105" s="30"/>
      <c r="E105" s="31" t="s">
        <v>145</v>
      </c>
      <c r="F105" s="32" t="s">
        <v>17</v>
      </c>
      <c r="G105" s="33" t="s">
        <v>126</v>
      </c>
      <c r="H105" s="34">
        <v>180924.52000000002</v>
      </c>
      <c r="I105" s="32" t="s">
        <v>27</v>
      </c>
      <c r="J105" s="35">
        <v>42460</v>
      </c>
    </row>
    <row r="106" spans="1:10" s="36" customFormat="1" hidden="1" outlineLevel="3">
      <c r="A106" s="29" t="s">
        <v>14</v>
      </c>
      <c r="B106" s="29" t="str">
        <f>"06.520258-ТЭ"</f>
        <v>06.520258-ТЭ</v>
      </c>
      <c r="C106" s="29" t="s">
        <v>146</v>
      </c>
      <c r="D106" s="30"/>
      <c r="E106" s="31" t="s">
        <v>147</v>
      </c>
      <c r="F106" s="32" t="s">
        <v>17</v>
      </c>
      <c r="G106" s="33" t="s">
        <v>148</v>
      </c>
      <c r="H106" s="34">
        <v>973806.72</v>
      </c>
      <c r="I106" s="32" t="s">
        <v>56</v>
      </c>
      <c r="J106" s="35">
        <v>42460</v>
      </c>
    </row>
    <row r="107" spans="1:10" s="36" customFormat="1" hidden="1" outlineLevel="3">
      <c r="A107" s="29" t="s">
        <v>14</v>
      </c>
      <c r="B107" s="29" t="str">
        <f>"06.520258ГВС"</f>
        <v>06.520258ГВС</v>
      </c>
      <c r="C107" s="29" t="s">
        <v>146</v>
      </c>
      <c r="D107" s="30"/>
      <c r="E107" s="31" t="s">
        <v>147</v>
      </c>
      <c r="F107" s="32" t="s">
        <v>17</v>
      </c>
      <c r="G107" s="33" t="s">
        <v>148</v>
      </c>
      <c r="H107" s="34">
        <v>389911.64</v>
      </c>
      <c r="I107" s="32" t="s">
        <v>149</v>
      </c>
      <c r="J107" s="35">
        <v>42460</v>
      </c>
    </row>
    <row r="108" spans="1:10" s="36" customFormat="1" ht="26.25" hidden="1" outlineLevel="3">
      <c r="A108" s="29" t="s">
        <v>14</v>
      </c>
      <c r="B108" s="29" t="str">
        <f>"06.520262-ТЭ"</f>
        <v>06.520262-ТЭ</v>
      </c>
      <c r="C108" s="29" t="s">
        <v>122</v>
      </c>
      <c r="D108" s="30"/>
      <c r="E108" s="31" t="s">
        <v>150</v>
      </c>
      <c r="F108" s="32" t="s">
        <v>17</v>
      </c>
      <c r="G108" s="33" t="s">
        <v>126</v>
      </c>
      <c r="H108" s="34">
        <v>859865.60000000009</v>
      </c>
      <c r="I108" s="32" t="s">
        <v>23</v>
      </c>
      <c r="J108" s="35">
        <v>42460</v>
      </c>
    </row>
    <row r="109" spans="1:10" s="36" customFormat="1" ht="26.25" hidden="1" outlineLevel="3">
      <c r="A109" s="29" t="s">
        <v>14</v>
      </c>
      <c r="B109" s="29" t="str">
        <f>"06.520270-ТЭ"</f>
        <v>06.520270-ТЭ</v>
      </c>
      <c r="C109" s="29" t="s">
        <v>43</v>
      </c>
      <c r="D109" s="30"/>
      <c r="E109" s="31" t="s">
        <v>151</v>
      </c>
      <c r="F109" s="32" t="s">
        <v>17</v>
      </c>
      <c r="G109" s="33" t="s">
        <v>40</v>
      </c>
      <c r="H109" s="34">
        <v>702925.51</v>
      </c>
      <c r="I109" s="32" t="s">
        <v>31</v>
      </c>
      <c r="J109" s="35">
        <v>42460</v>
      </c>
    </row>
    <row r="110" spans="1:10" s="36" customFormat="1" ht="39" hidden="1" outlineLevel="3">
      <c r="A110" s="29" t="s">
        <v>14</v>
      </c>
      <c r="B110" s="29" t="str">
        <f>"06.520273-ТЭ"</f>
        <v>06.520273-ТЭ</v>
      </c>
      <c r="C110" s="29" t="s">
        <v>116</v>
      </c>
      <c r="D110" s="30"/>
      <c r="E110" s="31" t="s">
        <v>152</v>
      </c>
      <c r="F110" s="32" t="s">
        <v>17</v>
      </c>
      <c r="G110" s="33" t="s">
        <v>40</v>
      </c>
      <c r="H110" s="34">
        <v>483527.1</v>
      </c>
      <c r="I110" s="32" t="s">
        <v>19</v>
      </c>
      <c r="J110" s="35">
        <v>42460</v>
      </c>
    </row>
    <row r="111" spans="1:10" s="36" customFormat="1" ht="26.25" hidden="1" outlineLevel="3">
      <c r="A111" s="29" t="s">
        <v>14</v>
      </c>
      <c r="B111" s="29" t="str">
        <f>"06.520276-ТЭ"</f>
        <v>06.520276-ТЭ</v>
      </c>
      <c r="C111" s="29" t="s">
        <v>46</v>
      </c>
      <c r="D111" s="30"/>
      <c r="E111" s="31" t="s">
        <v>153</v>
      </c>
      <c r="F111" s="32" t="s">
        <v>17</v>
      </c>
      <c r="G111" s="33" t="s">
        <v>40</v>
      </c>
      <c r="H111" s="34">
        <v>547077.20000000007</v>
      </c>
      <c r="I111" s="32" t="s">
        <v>23</v>
      </c>
      <c r="J111" s="35">
        <v>42460</v>
      </c>
    </row>
    <row r="112" spans="1:10" s="36" customFormat="1" ht="26.25" hidden="1" outlineLevel="3">
      <c r="A112" s="29" t="s">
        <v>14</v>
      </c>
      <c r="B112" s="29" t="str">
        <f>"06.520285-ТЭ"</f>
        <v>06.520285-ТЭ</v>
      </c>
      <c r="C112" s="29" t="s">
        <v>46</v>
      </c>
      <c r="D112" s="30"/>
      <c r="E112" s="31" t="s">
        <v>154</v>
      </c>
      <c r="F112" s="32" t="s">
        <v>17</v>
      </c>
      <c r="G112" s="33" t="s">
        <v>40</v>
      </c>
      <c r="H112" s="34">
        <v>74228.62</v>
      </c>
      <c r="I112" s="32" t="s">
        <v>23</v>
      </c>
      <c r="J112" s="35">
        <v>42460</v>
      </c>
    </row>
    <row r="113" spans="1:10" s="36" customFormat="1" ht="26.25" hidden="1" outlineLevel="3">
      <c r="A113" s="29" t="s">
        <v>14</v>
      </c>
      <c r="B113" s="29" t="str">
        <f>"06.520316-ТЭ"</f>
        <v>06.520316-ТЭ</v>
      </c>
      <c r="C113" s="29" t="s">
        <v>51</v>
      </c>
      <c r="D113" s="30"/>
      <c r="E113" s="31" t="s">
        <v>155</v>
      </c>
      <c r="F113" s="32" t="s">
        <v>17</v>
      </c>
      <c r="G113" s="33" t="s">
        <v>126</v>
      </c>
      <c r="H113" s="34">
        <v>97516.93</v>
      </c>
      <c r="I113" s="32" t="s">
        <v>23</v>
      </c>
      <c r="J113" s="35">
        <v>42460</v>
      </c>
    </row>
    <row r="114" spans="1:10" s="36" customFormat="1" ht="26.25" hidden="1" outlineLevel="3">
      <c r="A114" s="29" t="s">
        <v>14</v>
      </c>
      <c r="B114" s="29" t="str">
        <f>"06.520319-ТЭ"</f>
        <v>06.520319-ТЭ</v>
      </c>
      <c r="C114" s="29" t="s">
        <v>116</v>
      </c>
      <c r="D114" s="30"/>
      <c r="E114" s="31" t="s">
        <v>156</v>
      </c>
      <c r="F114" s="32" t="s">
        <v>17</v>
      </c>
      <c r="G114" s="33" t="s">
        <v>148</v>
      </c>
      <c r="H114" s="34">
        <v>3864208.2199999997</v>
      </c>
      <c r="I114" s="32" t="s">
        <v>56</v>
      </c>
      <c r="J114" s="35">
        <v>42460</v>
      </c>
    </row>
    <row r="115" spans="1:10" s="36" customFormat="1" ht="26.25" hidden="1" outlineLevel="3">
      <c r="A115" s="29" t="s">
        <v>14</v>
      </c>
      <c r="B115" s="29" t="str">
        <f>"06.520320-ТЭ"</f>
        <v>06.520320-ТЭ</v>
      </c>
      <c r="C115" s="29" t="s">
        <v>116</v>
      </c>
      <c r="D115" s="30"/>
      <c r="E115" s="31" t="s">
        <v>157</v>
      </c>
      <c r="F115" s="32" t="s">
        <v>17</v>
      </c>
      <c r="G115" s="33" t="s">
        <v>148</v>
      </c>
      <c r="H115" s="34">
        <v>8422103.7799999993</v>
      </c>
      <c r="I115" s="32" t="s">
        <v>158</v>
      </c>
      <c r="J115" s="35">
        <v>42460</v>
      </c>
    </row>
    <row r="116" spans="1:10" s="36" customFormat="1" ht="26.25" hidden="1" outlineLevel="3">
      <c r="A116" s="29" t="s">
        <v>14</v>
      </c>
      <c r="B116" s="29" t="str">
        <f>"06.520351-ТЭ"</f>
        <v>06.520351-ТЭ</v>
      </c>
      <c r="C116" s="29" t="s">
        <v>109</v>
      </c>
      <c r="D116" s="30"/>
      <c r="E116" s="31" t="s">
        <v>159</v>
      </c>
      <c r="F116" s="32" t="s">
        <v>17</v>
      </c>
      <c r="G116" s="33" t="s">
        <v>148</v>
      </c>
      <c r="H116" s="34">
        <v>3933839.42</v>
      </c>
      <c r="I116" s="32" t="s">
        <v>31</v>
      </c>
      <c r="J116" s="35">
        <v>42460</v>
      </c>
    </row>
    <row r="117" spans="1:10" s="36" customFormat="1" ht="26.25" hidden="1" outlineLevel="3">
      <c r="A117" s="29" t="s">
        <v>14</v>
      </c>
      <c r="B117" s="29" t="str">
        <f>"06.520351ГВС"</f>
        <v>06.520351ГВС</v>
      </c>
      <c r="C117" s="29" t="s">
        <v>109</v>
      </c>
      <c r="D117" s="30"/>
      <c r="E117" s="31" t="s">
        <v>159</v>
      </c>
      <c r="F117" s="32" t="s">
        <v>17</v>
      </c>
      <c r="G117" s="33" t="s">
        <v>148</v>
      </c>
      <c r="H117" s="34">
        <v>2825223.6</v>
      </c>
      <c r="I117" s="32" t="s">
        <v>68</v>
      </c>
      <c r="J117" s="35">
        <v>42460</v>
      </c>
    </row>
    <row r="118" spans="1:10" s="36" customFormat="1" ht="26.25" hidden="1" outlineLevel="3">
      <c r="A118" s="29" t="s">
        <v>14</v>
      </c>
      <c r="B118" s="29" t="str">
        <f>"06.520362-ТЭ"</f>
        <v>06.520362-ТЭ</v>
      </c>
      <c r="C118" s="29" t="s">
        <v>160</v>
      </c>
      <c r="D118" s="30"/>
      <c r="E118" s="31" t="s">
        <v>161</v>
      </c>
      <c r="F118" s="32" t="s">
        <v>17</v>
      </c>
      <c r="G118" s="33" t="s">
        <v>126</v>
      </c>
      <c r="H118" s="34">
        <v>266767.2</v>
      </c>
      <c r="I118" s="32" t="s">
        <v>27</v>
      </c>
      <c r="J118" s="35">
        <v>42460</v>
      </c>
    </row>
    <row r="119" spans="1:10" s="36" customFormat="1" hidden="1" outlineLevel="3">
      <c r="A119" s="29" t="s">
        <v>14</v>
      </c>
      <c r="B119" s="29" t="str">
        <f>"06.520382-ТЭ"</f>
        <v>06.520382-ТЭ</v>
      </c>
      <c r="C119" s="29" t="s">
        <v>24</v>
      </c>
      <c r="D119" s="30"/>
      <c r="E119" s="31" t="s">
        <v>162</v>
      </c>
      <c r="F119" s="32" t="s">
        <v>17</v>
      </c>
      <c r="G119" s="33" t="s">
        <v>126</v>
      </c>
      <c r="H119" s="34">
        <v>1681379.97</v>
      </c>
      <c r="I119" s="32" t="s">
        <v>33</v>
      </c>
      <c r="J119" s="35">
        <v>42460</v>
      </c>
    </row>
    <row r="120" spans="1:10" s="36" customFormat="1" ht="39" hidden="1" outlineLevel="3">
      <c r="A120" s="29" t="s">
        <v>14</v>
      </c>
      <c r="B120" s="29" t="str">
        <f>"06.520384-ТЭ"</f>
        <v>06.520384-ТЭ</v>
      </c>
      <c r="C120" s="29" t="s">
        <v>24</v>
      </c>
      <c r="D120" s="30"/>
      <c r="E120" s="31" t="s">
        <v>163</v>
      </c>
      <c r="F120" s="32" t="s">
        <v>17</v>
      </c>
      <c r="G120" s="33" t="s">
        <v>45</v>
      </c>
      <c r="H120" s="34">
        <v>11894191.99</v>
      </c>
      <c r="I120" s="32" t="s">
        <v>164</v>
      </c>
      <c r="J120" s="35">
        <v>42460</v>
      </c>
    </row>
    <row r="121" spans="1:10" s="36" customFormat="1" ht="39" hidden="1" outlineLevel="3">
      <c r="A121" s="29" t="s">
        <v>14</v>
      </c>
      <c r="B121" s="29" t="str">
        <f>"06.520385-ТЭ"</f>
        <v>06.520385-ТЭ</v>
      </c>
      <c r="C121" s="29" t="s">
        <v>24</v>
      </c>
      <c r="D121" s="30"/>
      <c r="E121" s="31" t="s">
        <v>165</v>
      </c>
      <c r="F121" s="32" t="s">
        <v>17</v>
      </c>
      <c r="G121" s="33" t="s">
        <v>45</v>
      </c>
      <c r="H121" s="34">
        <v>628932.87000000011</v>
      </c>
      <c r="I121" s="32" t="s">
        <v>23</v>
      </c>
      <c r="J121" s="35">
        <v>42460</v>
      </c>
    </row>
    <row r="122" spans="1:10" s="36" customFormat="1" ht="39" hidden="1" outlineLevel="3">
      <c r="A122" s="29" t="s">
        <v>14</v>
      </c>
      <c r="B122" s="29" t="str">
        <f>"06.520385ГВС"</f>
        <v>06.520385ГВС</v>
      </c>
      <c r="C122" s="29" t="s">
        <v>24</v>
      </c>
      <c r="D122" s="30"/>
      <c r="E122" s="31" t="s">
        <v>165</v>
      </c>
      <c r="F122" s="32" t="s">
        <v>17</v>
      </c>
      <c r="G122" s="33" t="s">
        <v>45</v>
      </c>
      <c r="H122" s="34">
        <v>295866.42000000004</v>
      </c>
      <c r="I122" s="32" t="s">
        <v>23</v>
      </c>
      <c r="J122" s="35">
        <v>42460</v>
      </c>
    </row>
    <row r="123" spans="1:10" s="36" customFormat="1" hidden="1" outlineLevel="3">
      <c r="A123" s="29" t="s">
        <v>14</v>
      </c>
      <c r="B123" s="29" t="str">
        <f>"06.520397-ТЭ"</f>
        <v>06.520397-ТЭ</v>
      </c>
      <c r="C123" s="29" t="s">
        <v>166</v>
      </c>
      <c r="D123" s="30"/>
      <c r="E123" s="31" t="s">
        <v>167</v>
      </c>
      <c r="F123" s="32" t="s">
        <v>17</v>
      </c>
      <c r="G123" s="33" t="s">
        <v>126</v>
      </c>
      <c r="H123" s="34">
        <v>222079.29</v>
      </c>
      <c r="I123" s="32" t="s">
        <v>19</v>
      </c>
      <c r="J123" s="35">
        <v>42460</v>
      </c>
    </row>
    <row r="124" spans="1:10" s="36" customFormat="1" hidden="1" outlineLevel="3">
      <c r="A124" s="29" t="s">
        <v>14</v>
      </c>
      <c r="B124" s="29" t="str">
        <f>"06.520397ГВС"</f>
        <v>06.520397ГВС</v>
      </c>
      <c r="C124" s="29" t="s">
        <v>166</v>
      </c>
      <c r="D124" s="30"/>
      <c r="E124" s="31" t="s">
        <v>167</v>
      </c>
      <c r="F124" s="32" t="s">
        <v>17</v>
      </c>
      <c r="G124" s="33" t="s">
        <v>126</v>
      </c>
      <c r="H124" s="34">
        <v>45435.760000000009</v>
      </c>
      <c r="I124" s="32" t="s">
        <v>19</v>
      </c>
      <c r="J124" s="35">
        <v>42460</v>
      </c>
    </row>
    <row r="125" spans="1:10" s="36" customFormat="1" ht="26.25" hidden="1" outlineLevel="3">
      <c r="A125" s="29" t="s">
        <v>14</v>
      </c>
      <c r="B125" s="29" t="str">
        <f>"06.520404-ТЭ"</f>
        <v>06.520404-ТЭ</v>
      </c>
      <c r="C125" s="29" t="s">
        <v>168</v>
      </c>
      <c r="D125" s="30"/>
      <c r="E125" s="31" t="s">
        <v>169</v>
      </c>
      <c r="F125" s="32" t="s">
        <v>17</v>
      </c>
      <c r="G125" s="33" t="s">
        <v>148</v>
      </c>
      <c r="H125" s="34">
        <v>665626.02</v>
      </c>
      <c r="I125" s="32" t="s">
        <v>27</v>
      </c>
      <c r="J125" s="35">
        <v>42460</v>
      </c>
    </row>
    <row r="126" spans="1:10" s="36" customFormat="1" ht="26.25" hidden="1" outlineLevel="3">
      <c r="A126" s="29" t="s">
        <v>14</v>
      </c>
      <c r="B126" s="29" t="str">
        <f>"06.520404ГВС"</f>
        <v>06.520404ГВС</v>
      </c>
      <c r="C126" s="29" t="s">
        <v>168</v>
      </c>
      <c r="D126" s="30"/>
      <c r="E126" s="31" t="s">
        <v>169</v>
      </c>
      <c r="F126" s="32" t="s">
        <v>17</v>
      </c>
      <c r="G126" s="33" t="s">
        <v>148</v>
      </c>
      <c r="H126" s="34">
        <v>963130.69</v>
      </c>
      <c r="I126" s="32" t="s">
        <v>90</v>
      </c>
      <c r="J126" s="35">
        <v>42460</v>
      </c>
    </row>
    <row r="127" spans="1:10" s="36" customFormat="1" ht="26.25" hidden="1" outlineLevel="3">
      <c r="A127" s="29" t="s">
        <v>14</v>
      </c>
      <c r="B127" s="29" t="str">
        <f>"06.520419-ТЭ"</f>
        <v>06.520419-ТЭ</v>
      </c>
      <c r="C127" s="29" t="s">
        <v>170</v>
      </c>
      <c r="D127" s="30"/>
      <c r="E127" s="31" t="s">
        <v>171</v>
      </c>
      <c r="F127" s="32" t="s">
        <v>17</v>
      </c>
      <c r="G127" s="33" t="s">
        <v>148</v>
      </c>
      <c r="H127" s="34">
        <v>2028815.3100000003</v>
      </c>
      <c r="I127" s="32" t="s">
        <v>48</v>
      </c>
      <c r="J127" s="35">
        <v>42460</v>
      </c>
    </row>
    <row r="128" spans="1:10" s="36" customFormat="1" ht="26.25" hidden="1" outlineLevel="3">
      <c r="A128" s="29" t="s">
        <v>14</v>
      </c>
      <c r="B128" s="29" t="str">
        <f>"06.520419ГВС"</f>
        <v>06.520419ГВС</v>
      </c>
      <c r="C128" s="29" t="s">
        <v>170</v>
      </c>
      <c r="D128" s="30"/>
      <c r="E128" s="31" t="s">
        <v>171</v>
      </c>
      <c r="F128" s="32" t="s">
        <v>17</v>
      </c>
      <c r="G128" s="33" t="s">
        <v>148</v>
      </c>
      <c r="H128" s="34">
        <v>727699</v>
      </c>
      <c r="I128" s="32" t="s">
        <v>48</v>
      </c>
      <c r="J128" s="35">
        <v>42460</v>
      </c>
    </row>
    <row r="129" spans="1:10" s="36" customFormat="1" ht="26.25" hidden="1" outlineLevel="3">
      <c r="A129" s="29" t="s">
        <v>14</v>
      </c>
      <c r="B129" s="29" t="str">
        <f>"06.523010-ТЭ"</f>
        <v>06.523010-ТЭ</v>
      </c>
      <c r="C129" s="29" t="s">
        <v>172</v>
      </c>
      <c r="D129" s="30" t="s">
        <v>173</v>
      </c>
      <c r="E129" s="37" t="s">
        <v>174</v>
      </c>
      <c r="F129" s="32" t="s">
        <v>70</v>
      </c>
      <c r="G129" s="33" t="s">
        <v>26</v>
      </c>
      <c r="H129" s="34">
        <v>39014.800000000003</v>
      </c>
      <c r="I129" s="32" t="s">
        <v>175</v>
      </c>
      <c r="J129" s="32" t="s">
        <v>175</v>
      </c>
    </row>
    <row r="130" spans="1:10" s="36" customFormat="1" ht="26.25" hidden="1" outlineLevel="3">
      <c r="A130" s="29" t="s">
        <v>14</v>
      </c>
      <c r="B130" s="29" t="str">
        <f>"06.523010ГВС"</f>
        <v>06.523010ГВС</v>
      </c>
      <c r="C130" s="29" t="s">
        <v>176</v>
      </c>
      <c r="D130" s="30" t="s">
        <v>173</v>
      </c>
      <c r="E130" s="37" t="s">
        <v>174</v>
      </c>
      <c r="F130" s="32" t="s">
        <v>70</v>
      </c>
      <c r="G130" s="33" t="s">
        <v>26</v>
      </c>
      <c r="H130" s="34">
        <v>223938.16</v>
      </c>
      <c r="I130" s="32" t="s">
        <v>175</v>
      </c>
      <c r="J130" s="32" t="s">
        <v>173</v>
      </c>
    </row>
    <row r="131" spans="1:10" s="36" customFormat="1" ht="26.25" hidden="1" outlineLevel="3">
      <c r="A131" s="29" t="s">
        <v>14</v>
      </c>
      <c r="B131" s="29" t="str">
        <f>"06.523011-ТЭ"</f>
        <v>06.523011-ТЭ</v>
      </c>
      <c r="C131" s="29" t="s">
        <v>172</v>
      </c>
      <c r="D131" s="30" t="s">
        <v>173</v>
      </c>
      <c r="E131" s="37" t="s">
        <v>177</v>
      </c>
      <c r="F131" s="32" t="s">
        <v>70</v>
      </c>
      <c r="G131" s="33" t="s">
        <v>26</v>
      </c>
      <c r="H131" s="34">
        <v>99358.38</v>
      </c>
      <c r="I131" s="32" t="s">
        <v>175</v>
      </c>
      <c r="J131" s="32" t="s">
        <v>175</v>
      </c>
    </row>
    <row r="132" spans="1:10" s="36" customFormat="1" ht="26.25" hidden="1" outlineLevel="3">
      <c r="A132" s="29" t="s">
        <v>14</v>
      </c>
      <c r="B132" s="29" t="str">
        <f>"06.523011ГВС"</f>
        <v>06.523011ГВС</v>
      </c>
      <c r="C132" s="29" t="s">
        <v>178</v>
      </c>
      <c r="D132" s="30" t="s">
        <v>173</v>
      </c>
      <c r="E132" s="37" t="s">
        <v>177</v>
      </c>
      <c r="F132" s="32" t="s">
        <v>70</v>
      </c>
      <c r="G132" s="33" t="s">
        <v>26</v>
      </c>
      <c r="H132" s="34">
        <v>407984.76</v>
      </c>
      <c r="I132" s="32" t="s">
        <v>175</v>
      </c>
      <c r="J132" s="32" t="s">
        <v>173</v>
      </c>
    </row>
    <row r="133" spans="1:10" s="36" customFormat="1" ht="26.25" hidden="1" outlineLevel="3">
      <c r="A133" s="29" t="s">
        <v>14</v>
      </c>
      <c r="B133" s="29" t="str">
        <f>"06.523021-ТЭ"</f>
        <v>06.523021-ТЭ</v>
      </c>
      <c r="C133" s="29" t="s">
        <v>24</v>
      </c>
      <c r="D133" s="30"/>
      <c r="E133" s="31" t="s">
        <v>179</v>
      </c>
      <c r="F133" s="32" t="s">
        <v>17</v>
      </c>
      <c r="G133" s="33" t="s">
        <v>26</v>
      </c>
      <c r="H133" s="34">
        <v>1472722.85</v>
      </c>
      <c r="I133" s="32" t="s">
        <v>19</v>
      </c>
      <c r="J133" s="35">
        <v>42460</v>
      </c>
    </row>
    <row r="134" spans="1:10" s="36" customFormat="1" ht="26.25" hidden="1" outlineLevel="3">
      <c r="A134" s="29" t="s">
        <v>14</v>
      </c>
      <c r="B134" s="29" t="str">
        <f>"06.523021ГВС"</f>
        <v>06.523021ГВС</v>
      </c>
      <c r="C134" s="29" t="s">
        <v>24</v>
      </c>
      <c r="D134" s="30"/>
      <c r="E134" s="31" t="s">
        <v>179</v>
      </c>
      <c r="F134" s="32" t="s">
        <v>17</v>
      </c>
      <c r="G134" s="33" t="s">
        <v>26</v>
      </c>
      <c r="H134" s="34">
        <v>486546.6100000001</v>
      </c>
      <c r="I134" s="32" t="s">
        <v>19</v>
      </c>
      <c r="J134" s="35">
        <v>42460</v>
      </c>
    </row>
    <row r="135" spans="1:10" s="36" customFormat="1" ht="26.25" hidden="1" outlineLevel="3">
      <c r="A135" s="29" t="s">
        <v>14</v>
      </c>
      <c r="B135" s="29" t="str">
        <f>"06.523031-ТЭ"</f>
        <v>06.523031-ТЭ</v>
      </c>
      <c r="C135" s="29" t="s">
        <v>24</v>
      </c>
      <c r="D135" s="30"/>
      <c r="E135" s="31" t="s">
        <v>180</v>
      </c>
      <c r="F135" s="32" t="s">
        <v>17</v>
      </c>
      <c r="G135" s="33" t="s">
        <v>26</v>
      </c>
      <c r="H135" s="34">
        <v>1140723.23</v>
      </c>
      <c r="I135" s="32" t="s">
        <v>19</v>
      </c>
      <c r="J135" s="35">
        <v>42460</v>
      </c>
    </row>
    <row r="136" spans="1:10" s="36" customFormat="1" ht="26.25" hidden="1" outlineLevel="3">
      <c r="A136" s="29" t="s">
        <v>14</v>
      </c>
      <c r="B136" s="29" t="str">
        <f>"06.523039-ТЭ"</f>
        <v>06.523039-ТЭ</v>
      </c>
      <c r="C136" s="29" t="s">
        <v>24</v>
      </c>
      <c r="D136" s="30"/>
      <c r="E136" s="31" t="s">
        <v>181</v>
      </c>
      <c r="F136" s="32" t="s">
        <v>17</v>
      </c>
      <c r="G136" s="33" t="s">
        <v>26</v>
      </c>
      <c r="H136" s="34">
        <v>1879378.12</v>
      </c>
      <c r="I136" s="32" t="s">
        <v>182</v>
      </c>
      <c r="J136" s="35">
        <v>42460</v>
      </c>
    </row>
    <row r="137" spans="1:10" s="36" customFormat="1" ht="26.25" hidden="1" outlineLevel="3">
      <c r="A137" s="29" t="s">
        <v>14</v>
      </c>
      <c r="B137" s="29" t="str">
        <f>"06.523039ГВС"</f>
        <v>06.523039ГВС</v>
      </c>
      <c r="C137" s="29" t="s">
        <v>24</v>
      </c>
      <c r="D137" s="30"/>
      <c r="E137" s="31" t="s">
        <v>181</v>
      </c>
      <c r="F137" s="32" t="s">
        <v>17</v>
      </c>
      <c r="G137" s="33" t="s">
        <v>26</v>
      </c>
      <c r="H137" s="34">
        <v>566626.68999999994</v>
      </c>
      <c r="I137" s="32" t="s">
        <v>31</v>
      </c>
      <c r="J137" s="35">
        <v>42460</v>
      </c>
    </row>
    <row r="138" spans="1:10" s="36" customFormat="1" ht="26.25" hidden="1" outlineLevel="3">
      <c r="A138" s="29" t="s">
        <v>14</v>
      </c>
      <c r="B138" s="29" t="str">
        <f>"06.523040-ТЭ"</f>
        <v>06.523040-ТЭ</v>
      </c>
      <c r="C138" s="29" t="s">
        <v>24</v>
      </c>
      <c r="D138" s="30"/>
      <c r="E138" s="31" t="s">
        <v>183</v>
      </c>
      <c r="F138" s="32" t="s">
        <v>17</v>
      </c>
      <c r="G138" s="33" t="s">
        <v>26</v>
      </c>
      <c r="H138" s="34">
        <v>801090.68</v>
      </c>
      <c r="I138" s="32" t="s">
        <v>27</v>
      </c>
      <c r="J138" s="35">
        <v>42460</v>
      </c>
    </row>
    <row r="139" spans="1:10" s="36" customFormat="1" ht="26.25" hidden="1" outlineLevel="3">
      <c r="A139" s="29" t="s">
        <v>14</v>
      </c>
      <c r="B139" s="29" t="str">
        <f>"06.523040ГВС"</f>
        <v>06.523040ГВС</v>
      </c>
      <c r="C139" s="29" t="s">
        <v>24</v>
      </c>
      <c r="D139" s="30"/>
      <c r="E139" s="31" t="s">
        <v>183</v>
      </c>
      <c r="F139" s="32" t="s">
        <v>17</v>
      </c>
      <c r="G139" s="33" t="s">
        <v>26</v>
      </c>
      <c r="H139" s="34">
        <v>209808.04</v>
      </c>
      <c r="I139" s="32" t="s">
        <v>27</v>
      </c>
      <c r="J139" s="35">
        <v>42460</v>
      </c>
    </row>
    <row r="140" spans="1:10" s="36" customFormat="1" ht="26.25" hidden="1" outlineLevel="3">
      <c r="A140" s="29" t="s">
        <v>14</v>
      </c>
      <c r="B140" s="29" t="str">
        <f>"06.523041-ТЭ"</f>
        <v>06.523041-ТЭ</v>
      </c>
      <c r="C140" s="29" t="s">
        <v>24</v>
      </c>
      <c r="D140" s="30"/>
      <c r="E140" s="31" t="s">
        <v>184</v>
      </c>
      <c r="F140" s="32" t="s">
        <v>17</v>
      </c>
      <c r="G140" s="33" t="s">
        <v>26</v>
      </c>
      <c r="H140" s="34">
        <v>8690789.8600000013</v>
      </c>
      <c r="I140" s="32" t="s">
        <v>33</v>
      </c>
      <c r="J140" s="35">
        <v>42460</v>
      </c>
    </row>
    <row r="141" spans="1:10" s="36" customFormat="1" ht="26.25" hidden="1" outlineLevel="3">
      <c r="A141" s="29" t="s">
        <v>14</v>
      </c>
      <c r="B141" s="29" t="str">
        <f>"06.523041ГВС"</f>
        <v>06.523041ГВС</v>
      </c>
      <c r="C141" s="29" t="s">
        <v>24</v>
      </c>
      <c r="D141" s="30"/>
      <c r="E141" s="31" t="s">
        <v>184</v>
      </c>
      <c r="F141" s="32" t="s">
        <v>17</v>
      </c>
      <c r="G141" s="33" t="s">
        <v>26</v>
      </c>
      <c r="H141" s="34">
        <v>1273331.6199999999</v>
      </c>
      <c r="I141" s="32" t="s">
        <v>27</v>
      </c>
      <c r="J141" s="35">
        <v>42460</v>
      </c>
    </row>
    <row r="142" spans="1:10" s="36" customFormat="1" ht="26.25" hidden="1" outlineLevel="3">
      <c r="A142" s="29" t="s">
        <v>14</v>
      </c>
      <c r="B142" s="29" t="str">
        <f>"06.523443-ТЭ"</f>
        <v>06.523443-ТЭ</v>
      </c>
      <c r="C142" s="29" t="s">
        <v>185</v>
      </c>
      <c r="D142" s="30"/>
      <c r="E142" s="31" t="s">
        <v>186</v>
      </c>
      <c r="F142" s="32" t="s">
        <v>17</v>
      </c>
      <c r="G142" s="33" t="s">
        <v>26</v>
      </c>
      <c r="H142" s="34">
        <v>412590.17999999993</v>
      </c>
      <c r="I142" s="32" t="s">
        <v>19</v>
      </c>
      <c r="J142" s="35">
        <v>42460</v>
      </c>
    </row>
    <row r="143" spans="1:10" s="36" customFormat="1" ht="26.25" outlineLevel="3">
      <c r="A143" s="29" t="s">
        <v>14</v>
      </c>
      <c r="B143" s="29" t="str">
        <f>"06.530022-ТЭ"</f>
        <v>06.530022-ТЭ</v>
      </c>
      <c r="C143" s="29" t="s">
        <v>51</v>
      </c>
      <c r="D143" s="30"/>
      <c r="E143" s="31" t="s">
        <v>187</v>
      </c>
      <c r="F143" s="32" t="s">
        <v>17</v>
      </c>
      <c r="G143" s="33" t="s">
        <v>18</v>
      </c>
      <c r="H143" s="34">
        <v>3857137.66</v>
      </c>
      <c r="I143" s="32" t="s">
        <v>158</v>
      </c>
      <c r="J143" s="35">
        <v>42460</v>
      </c>
    </row>
    <row r="144" spans="1:10" s="36" customFormat="1" ht="26.25" hidden="1" outlineLevel="3">
      <c r="A144" s="29" t="s">
        <v>14</v>
      </c>
      <c r="B144" s="29" t="str">
        <f>"06.530029-ТЭ"</f>
        <v>06.530029-ТЭ</v>
      </c>
      <c r="C144" s="29" t="s">
        <v>58</v>
      </c>
      <c r="D144" s="30"/>
      <c r="E144" s="31" t="s">
        <v>188</v>
      </c>
      <c r="F144" s="32" t="s">
        <v>17</v>
      </c>
      <c r="G144" s="33" t="s">
        <v>189</v>
      </c>
      <c r="H144" s="34">
        <v>1227.3999999999942</v>
      </c>
      <c r="I144" s="32" t="s">
        <v>23</v>
      </c>
      <c r="J144" s="35">
        <v>42460</v>
      </c>
    </row>
    <row r="145" spans="1:10" s="36" customFormat="1" ht="26.25" hidden="1" outlineLevel="3">
      <c r="A145" s="29" t="s">
        <v>14</v>
      </c>
      <c r="B145" s="29" t="str">
        <f>"06.530029ГВС"</f>
        <v>06.530029ГВС</v>
      </c>
      <c r="C145" s="29" t="s">
        <v>58</v>
      </c>
      <c r="D145" s="30"/>
      <c r="E145" s="31" t="s">
        <v>188</v>
      </c>
      <c r="F145" s="32" t="s">
        <v>17</v>
      </c>
      <c r="G145" s="33" t="s">
        <v>189</v>
      </c>
      <c r="H145" s="34">
        <v>7014.2599999999802</v>
      </c>
      <c r="I145" s="32" t="s">
        <v>23</v>
      </c>
      <c r="J145" s="35">
        <v>42460</v>
      </c>
    </row>
    <row r="146" spans="1:10" s="36" customFormat="1" hidden="1" outlineLevel="3">
      <c r="A146" s="29" t="s">
        <v>14</v>
      </c>
      <c r="B146" s="29" t="str">
        <f>"06.530157-ТЭ"</f>
        <v>06.530157-ТЭ</v>
      </c>
      <c r="C146" s="29" t="s">
        <v>190</v>
      </c>
      <c r="D146" s="30"/>
      <c r="E146" s="31" t="s">
        <v>191</v>
      </c>
      <c r="F146" s="32" t="s">
        <v>17</v>
      </c>
      <c r="G146" s="33" t="s">
        <v>189</v>
      </c>
      <c r="H146" s="34">
        <v>517937.32999999996</v>
      </c>
      <c r="I146" s="32" t="s">
        <v>19</v>
      </c>
      <c r="J146" s="35">
        <v>42460</v>
      </c>
    </row>
    <row r="147" spans="1:10" s="36" customFormat="1" hidden="1" outlineLevel="3">
      <c r="A147" s="29" t="s">
        <v>14</v>
      </c>
      <c r="B147" s="29" t="str">
        <f>"06.530157ГВС"</f>
        <v>06.530157ГВС</v>
      </c>
      <c r="C147" s="29" t="s">
        <v>190</v>
      </c>
      <c r="D147" s="30"/>
      <c r="E147" s="31" t="s">
        <v>191</v>
      </c>
      <c r="F147" s="32" t="s">
        <v>17</v>
      </c>
      <c r="G147" s="33" t="s">
        <v>189</v>
      </c>
      <c r="H147" s="34">
        <v>178494.18</v>
      </c>
      <c r="I147" s="32" t="s">
        <v>23</v>
      </c>
      <c r="J147" s="35">
        <v>42460</v>
      </c>
    </row>
    <row r="148" spans="1:10" s="36" customFormat="1" ht="26.25" hidden="1" outlineLevel="3">
      <c r="A148" s="29" t="s">
        <v>14</v>
      </c>
      <c r="B148" s="29" t="str">
        <f>"06.530238-ТЭ"</f>
        <v>06.530238-ТЭ</v>
      </c>
      <c r="C148" s="29" t="s">
        <v>24</v>
      </c>
      <c r="D148" s="30"/>
      <c r="E148" s="31" t="s">
        <v>192</v>
      </c>
      <c r="F148" s="32" t="s">
        <v>17</v>
      </c>
      <c r="G148" s="33" t="s">
        <v>193</v>
      </c>
      <c r="H148" s="34">
        <v>2072157.4600000002</v>
      </c>
      <c r="I148" s="32" t="s">
        <v>84</v>
      </c>
      <c r="J148" s="35">
        <v>42460</v>
      </c>
    </row>
    <row r="149" spans="1:10" s="36" customFormat="1" ht="26.25" hidden="1" outlineLevel="3">
      <c r="A149" s="29" t="s">
        <v>14</v>
      </c>
      <c r="B149" s="29" t="str">
        <f>"06.530238ГВС"</f>
        <v>06.530238ГВС</v>
      </c>
      <c r="C149" s="29" t="s">
        <v>24</v>
      </c>
      <c r="D149" s="30"/>
      <c r="E149" s="31" t="s">
        <v>192</v>
      </c>
      <c r="F149" s="32" t="s">
        <v>17</v>
      </c>
      <c r="G149" s="33" t="s">
        <v>193</v>
      </c>
      <c r="H149" s="34">
        <v>545067.78</v>
      </c>
      <c r="I149" s="32" t="s">
        <v>31</v>
      </c>
      <c r="J149" s="35">
        <v>42460</v>
      </c>
    </row>
    <row r="150" spans="1:10" s="36" customFormat="1" ht="26.25" hidden="1" outlineLevel="3">
      <c r="A150" s="29" t="s">
        <v>14</v>
      </c>
      <c r="B150" s="29" t="str">
        <f>"06.530239-ТЭ"</f>
        <v>06.530239-ТЭ</v>
      </c>
      <c r="C150" s="29" t="s">
        <v>24</v>
      </c>
      <c r="D150" s="30"/>
      <c r="E150" s="31" t="s">
        <v>192</v>
      </c>
      <c r="F150" s="32" t="s">
        <v>17</v>
      </c>
      <c r="G150" s="33" t="s">
        <v>193</v>
      </c>
      <c r="H150" s="34">
        <v>1397983.76</v>
      </c>
      <c r="I150" s="32" t="s">
        <v>31</v>
      </c>
      <c r="J150" s="35">
        <v>42460</v>
      </c>
    </row>
    <row r="151" spans="1:10" s="36" customFormat="1" ht="26.25" hidden="1" outlineLevel="3">
      <c r="A151" s="29" t="s">
        <v>14</v>
      </c>
      <c r="B151" s="29" t="str">
        <f>"06.530239ГВС"</f>
        <v>06.530239ГВС</v>
      </c>
      <c r="C151" s="29" t="s">
        <v>24</v>
      </c>
      <c r="D151" s="30"/>
      <c r="E151" s="31" t="s">
        <v>192</v>
      </c>
      <c r="F151" s="32" t="s">
        <v>17</v>
      </c>
      <c r="G151" s="33" t="s">
        <v>193</v>
      </c>
      <c r="H151" s="34">
        <v>354262.44</v>
      </c>
      <c r="I151" s="32" t="s">
        <v>27</v>
      </c>
      <c r="J151" s="35">
        <v>42460</v>
      </c>
    </row>
    <row r="152" spans="1:10" s="36" customFormat="1" ht="26.25" outlineLevel="3">
      <c r="A152" s="29" t="s">
        <v>14</v>
      </c>
      <c r="B152" s="29" t="str">
        <f>"06.530325ГВС"</f>
        <v>06.530325ГВС</v>
      </c>
      <c r="C152" s="29" t="s">
        <v>24</v>
      </c>
      <c r="D152" s="30"/>
      <c r="E152" s="31" t="s">
        <v>194</v>
      </c>
      <c r="F152" s="32" t="s">
        <v>17</v>
      </c>
      <c r="G152" s="33" t="s">
        <v>18</v>
      </c>
      <c r="H152" s="34">
        <v>15830.260000000009</v>
      </c>
      <c r="I152" s="32" t="s">
        <v>23</v>
      </c>
      <c r="J152" s="35">
        <v>42460</v>
      </c>
    </row>
    <row r="153" spans="1:10" s="36" customFormat="1" ht="26.25" hidden="1" outlineLevel="3">
      <c r="A153" s="29" t="s">
        <v>14</v>
      </c>
      <c r="B153" s="29" t="str">
        <f>"06.540034-ТЭ"</f>
        <v>06.540034-ТЭ</v>
      </c>
      <c r="C153" s="29" t="s">
        <v>24</v>
      </c>
      <c r="D153" s="30"/>
      <c r="E153" s="31" t="s">
        <v>195</v>
      </c>
      <c r="F153" s="32" t="s">
        <v>17</v>
      </c>
      <c r="G153" s="33" t="s">
        <v>97</v>
      </c>
      <c r="H153" s="34">
        <v>916647.73</v>
      </c>
      <c r="I153" s="32" t="s">
        <v>33</v>
      </c>
      <c r="J153" s="35">
        <v>42460</v>
      </c>
    </row>
    <row r="154" spans="1:10" s="36" customFormat="1" ht="26.25" hidden="1" outlineLevel="3">
      <c r="A154" s="29" t="s">
        <v>14</v>
      </c>
      <c r="B154" s="29" t="str">
        <f>"06.540041-ТЭ"</f>
        <v>06.540041-ТЭ</v>
      </c>
      <c r="C154" s="29" t="s">
        <v>196</v>
      </c>
      <c r="D154" s="30" t="s">
        <v>31</v>
      </c>
      <c r="E154" s="37" t="s">
        <v>197</v>
      </c>
      <c r="F154" s="32" t="s">
        <v>70</v>
      </c>
      <c r="G154" s="33" t="s">
        <v>97</v>
      </c>
      <c r="H154" s="34">
        <v>1847496.19</v>
      </c>
      <c r="I154" s="32" t="s">
        <v>90</v>
      </c>
      <c r="J154" s="32" t="s">
        <v>31</v>
      </c>
    </row>
    <row r="155" spans="1:10" s="36" customFormat="1" ht="26.25" hidden="1" outlineLevel="3">
      <c r="A155" s="29" t="s">
        <v>14</v>
      </c>
      <c r="B155" s="29" t="str">
        <f>"06.541030-ТЭ"</f>
        <v>06.541030-ТЭ</v>
      </c>
      <c r="C155" s="29" t="s">
        <v>24</v>
      </c>
      <c r="D155" s="30"/>
      <c r="E155" s="31" t="s">
        <v>198</v>
      </c>
      <c r="F155" s="32" t="s">
        <v>17</v>
      </c>
      <c r="G155" s="33" t="s">
        <v>199</v>
      </c>
      <c r="H155" s="34">
        <v>1465549.22</v>
      </c>
      <c r="I155" s="32" t="s">
        <v>90</v>
      </c>
      <c r="J155" s="35">
        <v>42460</v>
      </c>
    </row>
    <row r="156" spans="1:10" s="36" customFormat="1" ht="26.25" hidden="1" outlineLevel="3">
      <c r="A156" s="29" t="s">
        <v>14</v>
      </c>
      <c r="B156" s="29" t="str">
        <f>"06.541033-ТЭ"</f>
        <v>06.541033-ТЭ</v>
      </c>
      <c r="C156" s="29" t="s">
        <v>24</v>
      </c>
      <c r="D156" s="30"/>
      <c r="E156" s="31" t="s">
        <v>200</v>
      </c>
      <c r="F156" s="32" t="s">
        <v>17</v>
      </c>
      <c r="G156" s="33" t="s">
        <v>199</v>
      </c>
      <c r="H156" s="34">
        <v>247277.83000000002</v>
      </c>
      <c r="I156" s="32" t="s">
        <v>48</v>
      </c>
      <c r="J156" s="35">
        <v>42460</v>
      </c>
    </row>
    <row r="157" spans="1:10" s="36" customFormat="1" ht="26.25" hidden="1" outlineLevel="3">
      <c r="A157" s="29" t="s">
        <v>14</v>
      </c>
      <c r="B157" s="29" t="str">
        <f>"06.541034-ТЭ"</f>
        <v>06.541034-ТЭ</v>
      </c>
      <c r="C157" s="29" t="s">
        <v>201</v>
      </c>
      <c r="D157" s="30"/>
      <c r="E157" s="31" t="s">
        <v>202</v>
      </c>
      <c r="F157" s="32" t="s">
        <v>17</v>
      </c>
      <c r="G157" s="33" t="s">
        <v>199</v>
      </c>
      <c r="H157" s="34">
        <v>73679.969999999972</v>
      </c>
      <c r="I157" s="32" t="s">
        <v>23</v>
      </c>
      <c r="J157" s="35">
        <v>42460</v>
      </c>
    </row>
    <row r="158" spans="1:10" s="36" customFormat="1" ht="26.25" hidden="1" outlineLevel="3">
      <c r="A158" s="29" t="s">
        <v>14</v>
      </c>
      <c r="B158" s="29" t="str">
        <f>"06.541035-ТЭ"</f>
        <v>06.541035-ТЭ</v>
      </c>
      <c r="C158" s="29" t="s">
        <v>79</v>
      </c>
      <c r="D158" s="30"/>
      <c r="E158" s="31" t="s">
        <v>203</v>
      </c>
      <c r="F158" s="32" t="s">
        <v>17</v>
      </c>
      <c r="G158" s="33" t="s">
        <v>199</v>
      </c>
      <c r="H158" s="34">
        <v>76208.469999999972</v>
      </c>
      <c r="I158" s="32" t="s">
        <v>31</v>
      </c>
      <c r="J158" s="35">
        <v>42460</v>
      </c>
    </row>
    <row r="159" spans="1:10" s="36" customFormat="1" ht="26.25" hidden="1" outlineLevel="3">
      <c r="A159" s="29" t="s">
        <v>14</v>
      </c>
      <c r="B159" s="29" t="str">
        <f>"06.541042-ТЭ"</f>
        <v>06.541042-ТЭ</v>
      </c>
      <c r="C159" s="29" t="s">
        <v>204</v>
      </c>
      <c r="D159" s="30"/>
      <c r="E159" s="31" t="s">
        <v>205</v>
      </c>
      <c r="F159" s="32" t="s">
        <v>17</v>
      </c>
      <c r="G159" s="33" t="s">
        <v>199</v>
      </c>
      <c r="H159" s="34">
        <v>1096994.3799999999</v>
      </c>
      <c r="I159" s="32" t="s">
        <v>206</v>
      </c>
      <c r="J159" s="35">
        <v>42460</v>
      </c>
    </row>
    <row r="160" spans="1:10" s="36" customFormat="1" ht="26.25" hidden="1" outlineLevel="3">
      <c r="A160" s="29" t="s">
        <v>14</v>
      </c>
      <c r="B160" s="29" t="str">
        <f>"06.541045-ТЭ"</f>
        <v>06.541045-ТЭ</v>
      </c>
      <c r="C160" s="29" t="s">
        <v>207</v>
      </c>
      <c r="D160" s="30"/>
      <c r="E160" s="31" t="s">
        <v>208</v>
      </c>
      <c r="F160" s="32" t="s">
        <v>17</v>
      </c>
      <c r="G160" s="33" t="s">
        <v>199</v>
      </c>
      <c r="H160" s="34">
        <v>1582475.3899999997</v>
      </c>
      <c r="I160" s="32" t="s">
        <v>141</v>
      </c>
      <c r="J160" s="35">
        <v>42460</v>
      </c>
    </row>
    <row r="161" spans="1:10" s="36" customFormat="1" ht="26.25" hidden="1" outlineLevel="3">
      <c r="A161" s="29" t="s">
        <v>14</v>
      </c>
      <c r="B161" s="29" t="str">
        <f>"06.541046-ТЭ"</f>
        <v>06.541046-ТЭ</v>
      </c>
      <c r="C161" s="29" t="s">
        <v>95</v>
      </c>
      <c r="D161" s="30"/>
      <c r="E161" s="31" t="s">
        <v>209</v>
      </c>
      <c r="F161" s="32" t="s">
        <v>17</v>
      </c>
      <c r="G161" s="33" t="s">
        <v>210</v>
      </c>
      <c r="H161" s="34">
        <v>225927.90000000014</v>
      </c>
      <c r="I161" s="32" t="s">
        <v>19</v>
      </c>
      <c r="J161" s="35">
        <v>42460</v>
      </c>
    </row>
    <row r="162" spans="1:10" s="36" customFormat="1" ht="26.25" hidden="1" outlineLevel="3">
      <c r="A162" s="29" t="s">
        <v>14</v>
      </c>
      <c r="B162" s="29" t="str">
        <f>"06.544006-ТЭ"</f>
        <v>06.544006-ТЭ</v>
      </c>
      <c r="C162" s="29" t="s">
        <v>58</v>
      </c>
      <c r="D162" s="30"/>
      <c r="E162" s="31" t="s">
        <v>211</v>
      </c>
      <c r="F162" s="32" t="s">
        <v>17</v>
      </c>
      <c r="G162" s="33" t="s">
        <v>189</v>
      </c>
      <c r="H162" s="34">
        <v>593698.17999999993</v>
      </c>
      <c r="I162" s="32" t="s">
        <v>23</v>
      </c>
      <c r="J162" s="35">
        <v>42460</v>
      </c>
    </row>
    <row r="163" spans="1:10" s="36" customFormat="1" ht="26.25" hidden="1" outlineLevel="3">
      <c r="A163" s="29" t="s">
        <v>14</v>
      </c>
      <c r="B163" s="29" t="str">
        <f>"06.544020-ТЭ"</f>
        <v>06.544020-ТЭ</v>
      </c>
      <c r="C163" s="29" t="s">
        <v>43</v>
      </c>
      <c r="D163" s="30"/>
      <c r="E163" s="31" t="s">
        <v>212</v>
      </c>
      <c r="F163" s="32" t="s">
        <v>17</v>
      </c>
      <c r="G163" s="33" t="s">
        <v>189</v>
      </c>
      <c r="H163" s="34">
        <v>155685.1</v>
      </c>
      <c r="I163" s="32" t="s">
        <v>23</v>
      </c>
      <c r="J163" s="35">
        <v>42460</v>
      </c>
    </row>
    <row r="164" spans="1:10" s="36" customFormat="1" hidden="1" outlineLevel="3">
      <c r="A164" s="29" t="s">
        <v>14</v>
      </c>
      <c r="B164" s="29" t="str">
        <f>"06.544023-ТЭ"</f>
        <v>06.544023-ТЭ</v>
      </c>
      <c r="C164" s="29" t="s">
        <v>116</v>
      </c>
      <c r="D164" s="30"/>
      <c r="E164" s="31" t="s">
        <v>213</v>
      </c>
      <c r="F164" s="32" t="s">
        <v>17</v>
      </c>
      <c r="G164" s="33" t="s">
        <v>189</v>
      </c>
      <c r="H164" s="34">
        <v>152387.29999999999</v>
      </c>
      <c r="I164" s="32" t="s">
        <v>28</v>
      </c>
      <c r="J164" s="35">
        <v>42460</v>
      </c>
    </row>
    <row r="165" spans="1:10" s="36" customFormat="1" hidden="1" outlineLevel="3">
      <c r="A165" s="29" t="s">
        <v>14</v>
      </c>
      <c r="B165" s="29" t="str">
        <f>"06.544025-ТЭ"</f>
        <v>06.544025-ТЭ</v>
      </c>
      <c r="C165" s="29" t="s">
        <v>43</v>
      </c>
      <c r="D165" s="30"/>
      <c r="E165" s="31" t="s">
        <v>214</v>
      </c>
      <c r="F165" s="32" t="s">
        <v>17</v>
      </c>
      <c r="G165" s="33" t="s">
        <v>189</v>
      </c>
      <c r="H165" s="34">
        <v>115819.32</v>
      </c>
      <c r="I165" s="32" t="s">
        <v>23</v>
      </c>
      <c r="J165" s="35">
        <v>42460</v>
      </c>
    </row>
    <row r="166" spans="1:10" s="36" customFormat="1" ht="26.25" hidden="1" outlineLevel="3">
      <c r="A166" s="29" t="s">
        <v>14</v>
      </c>
      <c r="B166" s="29" t="str">
        <f>"06.544029-ТЭ"</f>
        <v>06.544029-ТЭ</v>
      </c>
      <c r="C166" s="29" t="s">
        <v>43</v>
      </c>
      <c r="D166" s="30"/>
      <c r="E166" s="31" t="s">
        <v>215</v>
      </c>
      <c r="F166" s="32" t="s">
        <v>17</v>
      </c>
      <c r="G166" s="33" t="s">
        <v>189</v>
      </c>
      <c r="H166" s="34">
        <v>833859.69</v>
      </c>
      <c r="I166" s="32" t="s">
        <v>31</v>
      </c>
      <c r="J166" s="35">
        <v>42460</v>
      </c>
    </row>
    <row r="167" spans="1:10" s="36" customFormat="1" ht="26.25" hidden="1" outlineLevel="3">
      <c r="A167" s="29" t="s">
        <v>14</v>
      </c>
      <c r="B167" s="29" t="str">
        <f>"06.544032ГВС"</f>
        <v>06.544032ГВС</v>
      </c>
      <c r="C167" s="29" t="s">
        <v>204</v>
      </c>
      <c r="D167" s="30"/>
      <c r="E167" s="31" t="s">
        <v>216</v>
      </c>
      <c r="F167" s="32" t="s">
        <v>17</v>
      </c>
      <c r="G167" s="33" t="s">
        <v>189</v>
      </c>
      <c r="H167" s="34">
        <v>1.0000000002037268E-2</v>
      </c>
      <c r="I167" s="32" t="s">
        <v>115</v>
      </c>
      <c r="J167" s="35">
        <v>42460</v>
      </c>
    </row>
    <row r="168" spans="1:10" s="36" customFormat="1" ht="26.25" hidden="1" outlineLevel="3">
      <c r="A168" s="29" t="s">
        <v>14</v>
      </c>
      <c r="B168" s="29" t="str">
        <f>"06.544206-ТЭ"</f>
        <v>06.544206-ТЭ</v>
      </c>
      <c r="C168" s="29" t="s">
        <v>201</v>
      </c>
      <c r="D168" s="30"/>
      <c r="E168" s="31" t="s">
        <v>217</v>
      </c>
      <c r="F168" s="32" t="s">
        <v>17</v>
      </c>
      <c r="G168" s="33" t="s">
        <v>189</v>
      </c>
      <c r="H168" s="34">
        <v>515411.48</v>
      </c>
      <c r="I168" s="32" t="s">
        <v>19</v>
      </c>
      <c r="J168" s="35">
        <v>42460</v>
      </c>
    </row>
    <row r="169" spans="1:10" s="36" customFormat="1" ht="26.25" hidden="1" outlineLevel="3">
      <c r="A169" s="29" t="s">
        <v>14</v>
      </c>
      <c r="B169" s="29" t="str">
        <f>"06.544208-ТЭ"</f>
        <v>06.544208-ТЭ</v>
      </c>
      <c r="C169" s="29" t="s">
        <v>218</v>
      </c>
      <c r="D169" s="30"/>
      <c r="E169" s="31" t="s">
        <v>219</v>
      </c>
      <c r="F169" s="32" t="s">
        <v>17</v>
      </c>
      <c r="G169" s="33" t="s">
        <v>189</v>
      </c>
      <c r="H169" s="34">
        <v>943993.6399999999</v>
      </c>
      <c r="I169" s="32" t="s">
        <v>90</v>
      </c>
      <c r="J169" s="35">
        <v>42460</v>
      </c>
    </row>
    <row r="170" spans="1:10" s="36" customFormat="1" ht="26.25" hidden="1" outlineLevel="3">
      <c r="A170" s="29" t="s">
        <v>14</v>
      </c>
      <c r="B170" s="29" t="str">
        <f>"06.545026-ТЭ"</f>
        <v>06.545026-ТЭ</v>
      </c>
      <c r="C170" s="29" t="s">
        <v>43</v>
      </c>
      <c r="D170" s="30"/>
      <c r="E170" s="31" t="s">
        <v>220</v>
      </c>
      <c r="F170" s="32" t="s">
        <v>17</v>
      </c>
      <c r="G170" s="33" t="s">
        <v>210</v>
      </c>
      <c r="H170" s="34">
        <v>300000</v>
      </c>
      <c r="I170" s="32" t="s">
        <v>23</v>
      </c>
      <c r="J170" s="35">
        <v>42460</v>
      </c>
    </row>
    <row r="171" spans="1:10" s="36" customFormat="1" ht="26.25" hidden="1" outlineLevel="3">
      <c r="A171" s="29" t="s">
        <v>14</v>
      </c>
      <c r="B171" s="29" t="str">
        <f>"06.545028-ГВ"</f>
        <v>06.545028-ГВ</v>
      </c>
      <c r="C171" s="29" t="s">
        <v>221</v>
      </c>
      <c r="D171" s="30"/>
      <c r="E171" s="31" t="s">
        <v>222</v>
      </c>
      <c r="F171" s="32" t="s">
        <v>17</v>
      </c>
      <c r="G171" s="33" t="s">
        <v>223</v>
      </c>
      <c r="H171" s="34">
        <v>207753.69999999998</v>
      </c>
      <c r="I171" s="32" t="s">
        <v>23</v>
      </c>
      <c r="J171" s="35">
        <v>42460</v>
      </c>
    </row>
    <row r="172" spans="1:10" s="36" customFormat="1" ht="26.25" hidden="1" outlineLevel="3">
      <c r="A172" s="29" t="s">
        <v>14</v>
      </c>
      <c r="B172" s="29" t="str">
        <f>"06.545028-ТЭ"</f>
        <v>06.545028-ТЭ</v>
      </c>
      <c r="C172" s="29" t="s">
        <v>224</v>
      </c>
      <c r="D172" s="30"/>
      <c r="E172" s="31" t="s">
        <v>222</v>
      </c>
      <c r="F172" s="32" t="s">
        <v>17</v>
      </c>
      <c r="G172" s="33" t="s">
        <v>223</v>
      </c>
      <c r="H172" s="34">
        <v>1583316.86</v>
      </c>
      <c r="I172" s="32" t="s">
        <v>28</v>
      </c>
      <c r="J172" s="35">
        <v>42460</v>
      </c>
    </row>
    <row r="173" spans="1:10" s="36" customFormat="1" ht="26.25" hidden="1" outlineLevel="3">
      <c r="A173" s="29" t="s">
        <v>14</v>
      </c>
      <c r="B173" s="29" t="str">
        <f>"06.545029-ТЭ"</f>
        <v>06.545029-ТЭ</v>
      </c>
      <c r="C173" s="29" t="s">
        <v>224</v>
      </c>
      <c r="D173" s="30"/>
      <c r="E173" s="31" t="s">
        <v>225</v>
      </c>
      <c r="F173" s="32" t="s">
        <v>17</v>
      </c>
      <c r="G173" s="33" t="s">
        <v>223</v>
      </c>
      <c r="H173" s="34">
        <v>2168871.17</v>
      </c>
      <c r="I173" s="32" t="s">
        <v>182</v>
      </c>
      <c r="J173" s="35">
        <v>42460</v>
      </c>
    </row>
    <row r="174" spans="1:10" s="36" customFormat="1" ht="26.25" hidden="1" outlineLevel="3">
      <c r="A174" s="29" t="s">
        <v>14</v>
      </c>
      <c r="B174" s="29" t="str">
        <f>"06.545032-ГВ"</f>
        <v>06.545032-ГВ</v>
      </c>
      <c r="C174" s="29" t="s">
        <v>221</v>
      </c>
      <c r="D174" s="30"/>
      <c r="E174" s="31" t="s">
        <v>226</v>
      </c>
      <c r="F174" s="32" t="s">
        <v>17</v>
      </c>
      <c r="G174" s="33" t="s">
        <v>223</v>
      </c>
      <c r="H174" s="34">
        <v>99999.999999999985</v>
      </c>
      <c r="I174" s="32" t="s">
        <v>19</v>
      </c>
      <c r="J174" s="35">
        <v>42460</v>
      </c>
    </row>
    <row r="175" spans="1:10" s="36" customFormat="1" ht="26.25" hidden="1" outlineLevel="3">
      <c r="A175" s="29" t="s">
        <v>14</v>
      </c>
      <c r="B175" s="29" t="str">
        <f>"06.545032-ТЭ"</f>
        <v>06.545032-ТЭ</v>
      </c>
      <c r="C175" s="29" t="s">
        <v>224</v>
      </c>
      <c r="D175" s="30"/>
      <c r="E175" s="31" t="s">
        <v>226</v>
      </c>
      <c r="F175" s="32" t="s">
        <v>17</v>
      </c>
      <c r="G175" s="33" t="s">
        <v>223</v>
      </c>
      <c r="H175" s="34">
        <v>249999.99999999997</v>
      </c>
      <c r="I175" s="32" t="s">
        <v>19</v>
      </c>
      <c r="J175" s="35">
        <v>42460</v>
      </c>
    </row>
    <row r="176" spans="1:10" s="36" customFormat="1" ht="26.25" hidden="1" outlineLevel="3">
      <c r="A176" s="29" t="s">
        <v>14</v>
      </c>
      <c r="B176" s="29" t="str">
        <f>"06.545034-ГВ"</f>
        <v>06.545034-ГВ</v>
      </c>
      <c r="C176" s="29" t="s">
        <v>221</v>
      </c>
      <c r="D176" s="30"/>
      <c r="E176" s="31" t="s">
        <v>227</v>
      </c>
      <c r="F176" s="32" t="s">
        <v>17</v>
      </c>
      <c r="G176" s="33" t="s">
        <v>223</v>
      </c>
      <c r="H176" s="34">
        <v>128.75</v>
      </c>
      <c r="I176" s="32" t="s">
        <v>19</v>
      </c>
      <c r="J176" s="35">
        <v>42460</v>
      </c>
    </row>
    <row r="177" spans="1:10" s="36" customFormat="1" ht="26.25" hidden="1" outlineLevel="3">
      <c r="A177" s="29" t="s">
        <v>14</v>
      </c>
      <c r="B177" s="29" t="str">
        <f>"06.545034-ТЭ"</f>
        <v>06.545034-ТЭ</v>
      </c>
      <c r="C177" s="29" t="s">
        <v>224</v>
      </c>
      <c r="D177" s="30"/>
      <c r="E177" s="31" t="s">
        <v>227</v>
      </c>
      <c r="F177" s="32" t="s">
        <v>17</v>
      </c>
      <c r="G177" s="33" t="s">
        <v>223</v>
      </c>
      <c r="H177" s="34">
        <v>358871.11</v>
      </c>
      <c r="I177" s="32" t="s">
        <v>23</v>
      </c>
      <c r="J177" s="35">
        <v>42460</v>
      </c>
    </row>
    <row r="178" spans="1:10" s="36" customFormat="1" ht="26.25" hidden="1" outlineLevel="3">
      <c r="A178" s="29" t="s">
        <v>14</v>
      </c>
      <c r="B178" s="29" t="str">
        <f>"06.545035-ГВ"</f>
        <v>06.545035-ГВ</v>
      </c>
      <c r="C178" s="29" t="s">
        <v>221</v>
      </c>
      <c r="D178" s="30"/>
      <c r="E178" s="31" t="s">
        <v>228</v>
      </c>
      <c r="F178" s="32" t="s">
        <v>17</v>
      </c>
      <c r="G178" s="33" t="s">
        <v>223</v>
      </c>
      <c r="H178" s="34">
        <v>63768.179999999993</v>
      </c>
      <c r="I178" s="32" t="s">
        <v>23</v>
      </c>
      <c r="J178" s="35">
        <v>42460</v>
      </c>
    </row>
    <row r="179" spans="1:10" s="36" customFormat="1" ht="26.25" hidden="1" outlineLevel="3">
      <c r="A179" s="29" t="s">
        <v>14</v>
      </c>
      <c r="B179" s="29" t="str">
        <f>"06.545035-ТЭ"</f>
        <v>06.545035-ТЭ</v>
      </c>
      <c r="C179" s="29" t="s">
        <v>224</v>
      </c>
      <c r="D179" s="30"/>
      <c r="E179" s="31" t="s">
        <v>228</v>
      </c>
      <c r="F179" s="32" t="s">
        <v>17</v>
      </c>
      <c r="G179" s="33" t="s">
        <v>223</v>
      </c>
      <c r="H179" s="34">
        <v>96153.88</v>
      </c>
      <c r="I179" s="32" t="s">
        <v>23</v>
      </c>
      <c r="J179" s="35">
        <v>42460</v>
      </c>
    </row>
    <row r="180" spans="1:10" s="36" customFormat="1" ht="26.25" hidden="1" outlineLevel="3">
      <c r="A180" s="29" t="s">
        <v>14</v>
      </c>
      <c r="B180" s="29" t="str">
        <f>"06.545036-ТЭ"</f>
        <v>06.545036-ТЭ</v>
      </c>
      <c r="C180" s="29" t="s">
        <v>196</v>
      </c>
      <c r="D180" s="30"/>
      <c r="E180" s="31" t="s">
        <v>229</v>
      </c>
      <c r="F180" s="32" t="s">
        <v>17</v>
      </c>
      <c r="G180" s="33" t="s">
        <v>223</v>
      </c>
      <c r="H180" s="34">
        <v>1696731.0499999998</v>
      </c>
      <c r="I180" s="32" t="s">
        <v>56</v>
      </c>
      <c r="J180" s="35">
        <v>42460</v>
      </c>
    </row>
    <row r="181" spans="1:10" s="36" customFormat="1" ht="26.25" hidden="1" outlineLevel="3">
      <c r="A181" s="29" t="s">
        <v>14</v>
      </c>
      <c r="B181" s="29" t="str">
        <f>"06.545036ГВС"</f>
        <v>06.545036ГВС</v>
      </c>
      <c r="C181" s="29" t="s">
        <v>196</v>
      </c>
      <c r="D181" s="30"/>
      <c r="E181" s="31" t="s">
        <v>229</v>
      </c>
      <c r="F181" s="32" t="s">
        <v>17</v>
      </c>
      <c r="G181" s="33" t="s">
        <v>223</v>
      </c>
      <c r="H181" s="34">
        <v>665780.39999999991</v>
      </c>
      <c r="I181" s="32" t="s">
        <v>56</v>
      </c>
      <c r="J181" s="35">
        <v>42460</v>
      </c>
    </row>
    <row r="182" spans="1:10" s="36" customFormat="1" ht="26.25" hidden="1" outlineLevel="3">
      <c r="A182" s="29" t="s">
        <v>14</v>
      </c>
      <c r="B182" s="29" t="str">
        <f>"06.545037-ГВ"</f>
        <v>06.545037-ГВ</v>
      </c>
      <c r="C182" s="29" t="s">
        <v>221</v>
      </c>
      <c r="D182" s="30"/>
      <c r="E182" s="31" t="s">
        <v>230</v>
      </c>
      <c r="F182" s="32" t="s">
        <v>17</v>
      </c>
      <c r="G182" s="33" t="s">
        <v>223</v>
      </c>
      <c r="H182" s="34">
        <v>188016.06</v>
      </c>
      <c r="I182" s="32" t="s">
        <v>23</v>
      </c>
      <c r="J182" s="35">
        <v>42460</v>
      </c>
    </row>
    <row r="183" spans="1:10" s="36" customFormat="1" ht="26.25" hidden="1" outlineLevel="3">
      <c r="A183" s="29" t="s">
        <v>14</v>
      </c>
      <c r="B183" s="29" t="str">
        <f>"06.545037-ТЭ"</f>
        <v>06.545037-ТЭ</v>
      </c>
      <c r="C183" s="29" t="s">
        <v>224</v>
      </c>
      <c r="D183" s="30"/>
      <c r="E183" s="31" t="s">
        <v>230</v>
      </c>
      <c r="F183" s="32" t="s">
        <v>17</v>
      </c>
      <c r="G183" s="33" t="s">
        <v>223</v>
      </c>
      <c r="H183" s="34">
        <v>853950.6100000001</v>
      </c>
      <c r="I183" s="32" t="s">
        <v>27</v>
      </c>
      <c r="J183" s="35">
        <v>42460</v>
      </c>
    </row>
    <row r="184" spans="1:10" s="36" customFormat="1" ht="26.25" hidden="1" outlineLevel="3">
      <c r="A184" s="29" t="s">
        <v>14</v>
      </c>
      <c r="B184" s="29" t="str">
        <f>"06.545038-ГВ"</f>
        <v>06.545038-ГВ</v>
      </c>
      <c r="C184" s="29" t="s">
        <v>221</v>
      </c>
      <c r="D184" s="30"/>
      <c r="E184" s="31" t="s">
        <v>231</v>
      </c>
      <c r="F184" s="32" t="s">
        <v>17</v>
      </c>
      <c r="G184" s="33" t="s">
        <v>223</v>
      </c>
      <c r="H184" s="34">
        <v>67412.72</v>
      </c>
      <c r="I184" s="32" t="s">
        <v>27</v>
      </c>
      <c r="J184" s="35">
        <v>42460</v>
      </c>
    </row>
    <row r="185" spans="1:10" s="36" customFormat="1" ht="26.25" hidden="1" outlineLevel="3">
      <c r="A185" s="29" t="s">
        <v>14</v>
      </c>
      <c r="B185" s="29" t="str">
        <f>"06.545038-ТЭ"</f>
        <v>06.545038-ТЭ</v>
      </c>
      <c r="C185" s="29" t="s">
        <v>224</v>
      </c>
      <c r="D185" s="30"/>
      <c r="E185" s="31" t="s">
        <v>231</v>
      </c>
      <c r="F185" s="32" t="s">
        <v>17</v>
      </c>
      <c r="G185" s="33" t="s">
        <v>223</v>
      </c>
      <c r="H185" s="34">
        <v>161380.95999999996</v>
      </c>
      <c r="I185" s="32" t="s">
        <v>27</v>
      </c>
      <c r="J185" s="35">
        <v>42460</v>
      </c>
    </row>
    <row r="186" spans="1:10" s="36" customFormat="1" ht="26.25" hidden="1" outlineLevel="3">
      <c r="A186" s="29" t="s">
        <v>14</v>
      </c>
      <c r="B186" s="29" t="str">
        <f>"06.545042-ТЭ"</f>
        <v>06.545042-ТЭ</v>
      </c>
      <c r="C186" s="29" t="s">
        <v>51</v>
      </c>
      <c r="D186" s="30"/>
      <c r="E186" s="31" t="s">
        <v>232</v>
      </c>
      <c r="F186" s="32" t="s">
        <v>17</v>
      </c>
      <c r="G186" s="33" t="s">
        <v>210</v>
      </c>
      <c r="H186" s="34">
        <v>1356839.0699999998</v>
      </c>
      <c r="I186" s="32" t="s">
        <v>19</v>
      </c>
      <c r="J186" s="35">
        <v>42460</v>
      </c>
    </row>
    <row r="187" spans="1:10" s="36" customFormat="1" ht="26.25" hidden="1" outlineLevel="3">
      <c r="A187" s="29" t="s">
        <v>14</v>
      </c>
      <c r="B187" s="29" t="str">
        <f>"06.545046-ТЭ"</f>
        <v>06.545046-ТЭ</v>
      </c>
      <c r="C187" s="29" t="s">
        <v>233</v>
      </c>
      <c r="D187" s="30"/>
      <c r="E187" s="31" t="s">
        <v>234</v>
      </c>
      <c r="F187" s="32" t="s">
        <v>17</v>
      </c>
      <c r="G187" s="33" t="s">
        <v>223</v>
      </c>
      <c r="H187" s="34">
        <v>136309.04000000004</v>
      </c>
      <c r="I187" s="32" t="s">
        <v>48</v>
      </c>
      <c r="J187" s="35">
        <v>42460</v>
      </c>
    </row>
    <row r="188" spans="1:10" s="36" customFormat="1" ht="26.25" hidden="1" outlineLevel="3">
      <c r="A188" s="29" t="s">
        <v>14</v>
      </c>
      <c r="B188" s="29" t="str">
        <f>"06.545049-ТЭ"</f>
        <v>06.545049-ТЭ</v>
      </c>
      <c r="C188" s="29" t="s">
        <v>224</v>
      </c>
      <c r="D188" s="30"/>
      <c r="E188" s="31" t="s">
        <v>235</v>
      </c>
      <c r="F188" s="32" t="s">
        <v>17</v>
      </c>
      <c r="G188" s="33" t="s">
        <v>223</v>
      </c>
      <c r="H188" s="34">
        <v>215572.50000000006</v>
      </c>
      <c r="I188" s="32" t="s">
        <v>19</v>
      </c>
      <c r="J188" s="35">
        <v>42460</v>
      </c>
    </row>
    <row r="189" spans="1:10" s="36" customFormat="1" ht="26.25" hidden="1" outlineLevel="3">
      <c r="A189" s="29" t="s">
        <v>14</v>
      </c>
      <c r="B189" s="29" t="str">
        <f>"06.545052-ТЭ"</f>
        <v>06.545052-ТЭ</v>
      </c>
      <c r="C189" s="29" t="s">
        <v>51</v>
      </c>
      <c r="D189" s="30"/>
      <c r="E189" s="31" t="s">
        <v>236</v>
      </c>
      <c r="F189" s="32" t="s">
        <v>17</v>
      </c>
      <c r="G189" s="33" t="s">
        <v>210</v>
      </c>
      <c r="H189" s="34">
        <v>2586950.8199999998</v>
      </c>
      <c r="I189" s="32" t="s">
        <v>115</v>
      </c>
      <c r="J189" s="35">
        <v>42460</v>
      </c>
    </row>
    <row r="190" spans="1:10" s="36" customFormat="1" ht="26.25" hidden="1" outlineLevel="3">
      <c r="A190" s="29" t="s">
        <v>14</v>
      </c>
      <c r="B190" s="29" t="str">
        <f>"06.545054-ТЭ"</f>
        <v>06.545054-ТЭ</v>
      </c>
      <c r="C190" s="29" t="s">
        <v>79</v>
      </c>
      <c r="D190" s="30"/>
      <c r="E190" s="31" t="s">
        <v>237</v>
      </c>
      <c r="F190" s="32" t="s">
        <v>17</v>
      </c>
      <c r="G190" s="33" t="s">
        <v>210</v>
      </c>
      <c r="H190" s="34">
        <v>728302.95000000007</v>
      </c>
      <c r="I190" s="32" t="s">
        <v>23</v>
      </c>
      <c r="J190" s="35">
        <v>42460</v>
      </c>
    </row>
    <row r="191" spans="1:10" s="36" customFormat="1" ht="26.25" hidden="1" outlineLevel="3">
      <c r="A191" s="29" t="s">
        <v>14</v>
      </c>
      <c r="B191" s="29" t="str">
        <f>"06.545055-ГВ"</f>
        <v>06.545055-ГВ</v>
      </c>
      <c r="C191" s="29" t="s">
        <v>224</v>
      </c>
      <c r="D191" s="30"/>
      <c r="E191" s="31" t="s">
        <v>238</v>
      </c>
      <c r="F191" s="32" t="s">
        <v>17</v>
      </c>
      <c r="G191" s="33" t="s">
        <v>223</v>
      </c>
      <c r="H191" s="34">
        <v>180025.2</v>
      </c>
      <c r="I191" s="32" t="s">
        <v>27</v>
      </c>
      <c r="J191" s="35">
        <v>42460</v>
      </c>
    </row>
    <row r="192" spans="1:10" s="36" customFormat="1" ht="26.25" hidden="1" outlineLevel="3">
      <c r="A192" s="29" t="s">
        <v>14</v>
      </c>
      <c r="B192" s="29" t="str">
        <f>"06.545055-ТЭ"</f>
        <v>06.545055-ТЭ</v>
      </c>
      <c r="C192" s="29" t="s">
        <v>224</v>
      </c>
      <c r="D192" s="30"/>
      <c r="E192" s="31" t="s">
        <v>238</v>
      </c>
      <c r="F192" s="32" t="s">
        <v>17</v>
      </c>
      <c r="G192" s="33" t="s">
        <v>223</v>
      </c>
      <c r="H192" s="34">
        <v>425157.99</v>
      </c>
      <c r="I192" s="32" t="s">
        <v>27</v>
      </c>
      <c r="J192" s="35">
        <v>42460</v>
      </c>
    </row>
    <row r="193" spans="1:10" s="36" customFormat="1" ht="26.25" hidden="1" outlineLevel="3">
      <c r="A193" s="29" t="s">
        <v>14</v>
      </c>
      <c r="B193" s="29" t="str">
        <f>"06.545057-ТЭ"</f>
        <v>06.545057-ТЭ</v>
      </c>
      <c r="C193" s="29" t="s">
        <v>51</v>
      </c>
      <c r="D193" s="30"/>
      <c r="E193" s="31" t="s">
        <v>239</v>
      </c>
      <c r="F193" s="32" t="s">
        <v>17</v>
      </c>
      <c r="G193" s="33" t="s">
        <v>210</v>
      </c>
      <c r="H193" s="34">
        <v>1722280.25</v>
      </c>
      <c r="I193" s="32" t="s">
        <v>48</v>
      </c>
      <c r="J193" s="35">
        <v>42460</v>
      </c>
    </row>
    <row r="194" spans="1:10" s="36" customFormat="1" ht="26.25" hidden="1" outlineLevel="3">
      <c r="A194" s="29" t="s">
        <v>14</v>
      </c>
      <c r="B194" s="29" t="str">
        <f>"06.545058-ТЭ"</f>
        <v>06.545058-ТЭ</v>
      </c>
      <c r="C194" s="29" t="s">
        <v>79</v>
      </c>
      <c r="D194" s="30"/>
      <c r="E194" s="31" t="s">
        <v>240</v>
      </c>
      <c r="F194" s="32" t="s">
        <v>17</v>
      </c>
      <c r="G194" s="33" t="s">
        <v>210</v>
      </c>
      <c r="H194" s="34">
        <v>772541.59</v>
      </c>
      <c r="I194" s="32" t="s">
        <v>19</v>
      </c>
      <c r="J194" s="35">
        <v>42460</v>
      </c>
    </row>
    <row r="195" spans="1:10" s="36" customFormat="1" ht="26.25" hidden="1" outlineLevel="3">
      <c r="A195" s="29" t="s">
        <v>14</v>
      </c>
      <c r="B195" s="29" t="str">
        <f>"06.545061-ГВ"</f>
        <v>06.545061-ГВ</v>
      </c>
      <c r="C195" s="29" t="s">
        <v>224</v>
      </c>
      <c r="D195" s="30"/>
      <c r="E195" s="31" t="s">
        <v>241</v>
      </c>
      <c r="F195" s="32" t="s">
        <v>17</v>
      </c>
      <c r="G195" s="33" t="s">
        <v>223</v>
      </c>
      <c r="H195" s="34">
        <v>181809.69</v>
      </c>
      <c r="I195" s="32" t="s">
        <v>23</v>
      </c>
      <c r="J195" s="35">
        <v>42460</v>
      </c>
    </row>
    <row r="196" spans="1:10" s="36" customFormat="1" ht="26.25" hidden="1" outlineLevel="3">
      <c r="A196" s="29" t="s">
        <v>14</v>
      </c>
      <c r="B196" s="29" t="str">
        <f>"06.545063-ТЭ"</f>
        <v>06.545063-ТЭ</v>
      </c>
      <c r="C196" s="29" t="s">
        <v>79</v>
      </c>
      <c r="D196" s="30"/>
      <c r="E196" s="31" t="s">
        <v>242</v>
      </c>
      <c r="F196" s="32" t="s">
        <v>17</v>
      </c>
      <c r="G196" s="33" t="s">
        <v>210</v>
      </c>
      <c r="H196" s="34">
        <v>718260.25</v>
      </c>
      <c r="I196" s="32" t="s">
        <v>27</v>
      </c>
      <c r="J196" s="35">
        <v>42460</v>
      </c>
    </row>
    <row r="197" spans="1:10" s="36" customFormat="1" ht="26.25" hidden="1" outlineLevel="3">
      <c r="A197" s="29" t="s">
        <v>14</v>
      </c>
      <c r="B197" s="29" t="str">
        <f>"06.545071-ТЭ"</f>
        <v>06.545071-ТЭ</v>
      </c>
      <c r="C197" s="29" t="s">
        <v>243</v>
      </c>
      <c r="D197" s="30"/>
      <c r="E197" s="31" t="s">
        <v>244</v>
      </c>
      <c r="F197" s="32" t="s">
        <v>17</v>
      </c>
      <c r="G197" s="33" t="s">
        <v>223</v>
      </c>
      <c r="H197" s="34">
        <v>255135.85000000003</v>
      </c>
      <c r="I197" s="32" t="s">
        <v>23</v>
      </c>
      <c r="J197" s="35">
        <v>42460</v>
      </c>
    </row>
    <row r="198" spans="1:10" s="36" customFormat="1" ht="26.25" hidden="1" outlineLevel="3">
      <c r="A198" s="29" t="s">
        <v>14</v>
      </c>
      <c r="B198" s="29" t="str">
        <f>"06.545073-ТЭ"</f>
        <v>06.545073-ТЭ</v>
      </c>
      <c r="C198" s="29" t="s">
        <v>245</v>
      </c>
      <c r="D198" s="30"/>
      <c r="E198" s="31" t="s">
        <v>246</v>
      </c>
      <c r="F198" s="32" t="s">
        <v>17</v>
      </c>
      <c r="G198" s="33" t="s">
        <v>210</v>
      </c>
      <c r="H198" s="34">
        <v>918443.99</v>
      </c>
      <c r="I198" s="32" t="s">
        <v>27</v>
      </c>
      <c r="J198" s="35">
        <v>42460</v>
      </c>
    </row>
    <row r="199" spans="1:10" s="36" customFormat="1" ht="26.25" hidden="1" outlineLevel="3">
      <c r="A199" s="29" t="s">
        <v>14</v>
      </c>
      <c r="B199" s="29" t="str">
        <f>"06.545073ГВС"</f>
        <v>06.545073ГВС</v>
      </c>
      <c r="C199" s="29" t="s">
        <v>245</v>
      </c>
      <c r="D199" s="30"/>
      <c r="E199" s="31" t="s">
        <v>246</v>
      </c>
      <c r="F199" s="32" t="s">
        <v>17</v>
      </c>
      <c r="G199" s="33" t="s">
        <v>210</v>
      </c>
      <c r="H199" s="34">
        <v>154026.96000000002</v>
      </c>
      <c r="I199" s="32" t="s">
        <v>27</v>
      </c>
      <c r="J199" s="35">
        <v>42460</v>
      </c>
    </row>
    <row r="200" spans="1:10" s="36" customFormat="1" ht="26.25" hidden="1" outlineLevel="3">
      <c r="A200" s="29" t="s">
        <v>14</v>
      </c>
      <c r="B200" s="29" t="str">
        <f>"06.545276-ТЭ"</f>
        <v>06.545276-ТЭ</v>
      </c>
      <c r="C200" s="29" t="s">
        <v>24</v>
      </c>
      <c r="D200" s="30"/>
      <c r="E200" s="31" t="s">
        <v>247</v>
      </c>
      <c r="F200" s="32" t="s">
        <v>17</v>
      </c>
      <c r="G200" s="33" t="s">
        <v>223</v>
      </c>
      <c r="H200" s="34">
        <v>357860.69999999995</v>
      </c>
      <c r="I200" s="32" t="s">
        <v>19</v>
      </c>
      <c r="J200" s="35">
        <v>42460</v>
      </c>
    </row>
    <row r="201" spans="1:10" s="36" customFormat="1" ht="26.25" hidden="1" outlineLevel="3">
      <c r="A201" s="29" t="s">
        <v>14</v>
      </c>
      <c r="B201" s="29" t="str">
        <f>"06.545276ГВС"</f>
        <v>06.545276ГВС</v>
      </c>
      <c r="C201" s="29" t="s">
        <v>24</v>
      </c>
      <c r="D201" s="30"/>
      <c r="E201" s="31" t="s">
        <v>247</v>
      </c>
      <c r="F201" s="32" t="s">
        <v>17</v>
      </c>
      <c r="G201" s="33" t="s">
        <v>223</v>
      </c>
      <c r="H201" s="34">
        <v>426045.61</v>
      </c>
      <c r="I201" s="32" t="s">
        <v>19</v>
      </c>
      <c r="J201" s="35">
        <v>42460</v>
      </c>
    </row>
    <row r="202" spans="1:10" s="36" customFormat="1" ht="26.25" hidden="1" outlineLevel="3">
      <c r="A202" s="29" t="s">
        <v>14</v>
      </c>
      <c r="B202" s="29" t="str">
        <f>"06.545300-ТЭ"</f>
        <v>06.545300-ТЭ</v>
      </c>
      <c r="C202" s="29" t="s">
        <v>51</v>
      </c>
      <c r="D202" s="30" t="s">
        <v>248</v>
      </c>
      <c r="E202" s="37" t="s">
        <v>249</v>
      </c>
      <c r="F202" s="32" t="s">
        <v>70</v>
      </c>
      <c r="G202" s="33" t="s">
        <v>210</v>
      </c>
      <c r="H202" s="34">
        <v>2648055.67</v>
      </c>
      <c r="I202" s="32" t="s">
        <v>250</v>
      </c>
      <c r="J202" s="32" t="s">
        <v>248</v>
      </c>
    </row>
    <row r="203" spans="1:10" s="36" customFormat="1" ht="26.25" hidden="1" outlineLevel="3">
      <c r="A203" s="29" t="s">
        <v>14</v>
      </c>
      <c r="B203" s="29" t="str">
        <f>"06.545301-ТЭ"</f>
        <v>06.545301-ТЭ</v>
      </c>
      <c r="C203" s="29" t="s">
        <v>190</v>
      </c>
      <c r="D203" s="30"/>
      <c r="E203" s="31" t="s">
        <v>251</v>
      </c>
      <c r="F203" s="32" t="s">
        <v>17</v>
      </c>
      <c r="G203" s="33" t="s">
        <v>210</v>
      </c>
      <c r="H203" s="34">
        <v>5255117.4000000004</v>
      </c>
      <c r="I203" s="32" t="s">
        <v>56</v>
      </c>
      <c r="J203" s="35">
        <v>42460</v>
      </c>
    </row>
    <row r="204" spans="1:10" s="36" customFormat="1" ht="26.25" hidden="1" outlineLevel="3">
      <c r="A204" s="29" t="s">
        <v>14</v>
      </c>
      <c r="B204" s="29" t="str">
        <f>"06.545301ГВС"</f>
        <v>06.545301ГВС</v>
      </c>
      <c r="C204" s="29" t="s">
        <v>190</v>
      </c>
      <c r="D204" s="30"/>
      <c r="E204" s="31" t="s">
        <v>251</v>
      </c>
      <c r="F204" s="32" t="s">
        <v>17</v>
      </c>
      <c r="G204" s="33" t="s">
        <v>210</v>
      </c>
      <c r="H204" s="34">
        <v>1665058.8199999998</v>
      </c>
      <c r="I204" s="32" t="s">
        <v>71</v>
      </c>
      <c r="J204" s="35">
        <v>42460</v>
      </c>
    </row>
    <row r="205" spans="1:10" s="36" customFormat="1" ht="26.25" hidden="1" outlineLevel="3">
      <c r="A205" s="29" t="s">
        <v>14</v>
      </c>
      <c r="B205" s="29" t="str">
        <f>"06.545304-ТЭ"</f>
        <v>06.545304-ТЭ</v>
      </c>
      <c r="C205" s="29" t="s">
        <v>252</v>
      </c>
      <c r="D205" s="30"/>
      <c r="E205" s="31" t="s">
        <v>253</v>
      </c>
      <c r="F205" s="32" t="s">
        <v>17</v>
      </c>
      <c r="G205" s="33" t="s">
        <v>223</v>
      </c>
      <c r="H205" s="34">
        <v>4329651.63</v>
      </c>
      <c r="I205" s="32" t="s">
        <v>84</v>
      </c>
      <c r="J205" s="35">
        <v>42460</v>
      </c>
    </row>
    <row r="206" spans="1:10" s="36" customFormat="1" ht="26.25" hidden="1" outlineLevel="3">
      <c r="A206" s="29" t="s">
        <v>14</v>
      </c>
      <c r="B206" s="29" t="str">
        <f>"06.545316-ТЭ"</f>
        <v>06.545316-ТЭ</v>
      </c>
      <c r="C206" s="29" t="s">
        <v>254</v>
      </c>
      <c r="D206" s="30"/>
      <c r="E206" s="31" t="s">
        <v>255</v>
      </c>
      <c r="F206" s="32" t="s">
        <v>17</v>
      </c>
      <c r="G206" s="33" t="s">
        <v>223</v>
      </c>
      <c r="H206" s="34">
        <v>1912974.86</v>
      </c>
      <c r="I206" s="32" t="s">
        <v>27</v>
      </c>
      <c r="J206" s="35">
        <v>42460</v>
      </c>
    </row>
    <row r="207" spans="1:10" s="36" customFormat="1" ht="26.25" hidden="1" outlineLevel="3">
      <c r="A207" s="29" t="s">
        <v>14</v>
      </c>
      <c r="B207" s="29" t="str">
        <f>"06.545318ГВС"</f>
        <v>06.545318ГВС</v>
      </c>
      <c r="C207" s="29" t="s">
        <v>24</v>
      </c>
      <c r="D207" s="30"/>
      <c r="E207" s="31" t="s">
        <v>256</v>
      </c>
      <c r="F207" s="32" t="s">
        <v>17</v>
      </c>
      <c r="G207" s="33" t="s">
        <v>210</v>
      </c>
      <c r="H207" s="34">
        <v>165653</v>
      </c>
      <c r="I207" s="32" t="s">
        <v>28</v>
      </c>
      <c r="J207" s="35">
        <v>42460</v>
      </c>
    </row>
    <row r="208" spans="1:10" s="36" customFormat="1" ht="26.25" hidden="1" outlineLevel="3">
      <c r="A208" s="29" t="s">
        <v>14</v>
      </c>
      <c r="B208" s="29" t="str">
        <f>"06.545324-ТЭ"</f>
        <v>06.545324-ТЭ</v>
      </c>
      <c r="C208" s="29" t="s">
        <v>196</v>
      </c>
      <c r="D208" s="30"/>
      <c r="E208" s="31" t="s">
        <v>257</v>
      </c>
      <c r="F208" s="32" t="s">
        <v>17</v>
      </c>
      <c r="G208" s="33" t="s">
        <v>210</v>
      </c>
      <c r="H208" s="34">
        <v>384958.89999999997</v>
      </c>
      <c r="I208" s="32" t="s">
        <v>23</v>
      </c>
      <c r="J208" s="35">
        <v>42460</v>
      </c>
    </row>
    <row r="209" spans="1:10" s="36" customFormat="1" ht="26.25" hidden="1" outlineLevel="3">
      <c r="A209" s="29" t="s">
        <v>14</v>
      </c>
      <c r="B209" s="29" t="str">
        <f>"06.545327-ТЭ"</f>
        <v>06.545327-ТЭ</v>
      </c>
      <c r="C209" s="29" t="s">
        <v>196</v>
      </c>
      <c r="D209" s="30"/>
      <c r="E209" s="31" t="s">
        <v>258</v>
      </c>
      <c r="F209" s="32" t="s">
        <v>17</v>
      </c>
      <c r="G209" s="33" t="s">
        <v>210</v>
      </c>
      <c r="H209" s="34">
        <v>586905.74</v>
      </c>
      <c r="I209" s="32" t="s">
        <v>23</v>
      </c>
      <c r="J209" s="35">
        <v>42460</v>
      </c>
    </row>
    <row r="210" spans="1:10" s="36" customFormat="1" ht="26.25" hidden="1" outlineLevel="3">
      <c r="A210" s="29" t="s">
        <v>14</v>
      </c>
      <c r="B210" s="29" t="str">
        <f>"06.545336-ТЭ"</f>
        <v>06.545336-ТЭ</v>
      </c>
      <c r="C210" s="29" t="s">
        <v>259</v>
      </c>
      <c r="D210" s="30"/>
      <c r="E210" s="31" t="s">
        <v>260</v>
      </c>
      <c r="F210" s="32" t="s">
        <v>17</v>
      </c>
      <c r="G210" s="33" t="s">
        <v>210</v>
      </c>
      <c r="H210" s="34">
        <v>1074918.5099999998</v>
      </c>
      <c r="I210" s="32" t="s">
        <v>27</v>
      </c>
      <c r="J210" s="35">
        <v>42460</v>
      </c>
    </row>
    <row r="211" spans="1:10" s="36" customFormat="1" ht="26.25" hidden="1" outlineLevel="3">
      <c r="A211" s="29" t="s">
        <v>14</v>
      </c>
      <c r="B211" s="29" t="str">
        <f>"06.545347-ТЭ"</f>
        <v>06.545347-ТЭ</v>
      </c>
      <c r="C211" s="29" t="s">
        <v>261</v>
      </c>
      <c r="D211" s="30"/>
      <c r="E211" s="31" t="s">
        <v>262</v>
      </c>
      <c r="F211" s="32" t="s">
        <v>17</v>
      </c>
      <c r="G211" s="33" t="s">
        <v>210</v>
      </c>
      <c r="H211" s="34">
        <v>4689850.1899999995</v>
      </c>
      <c r="I211" s="32" t="s">
        <v>84</v>
      </c>
      <c r="J211" s="35">
        <v>42460</v>
      </c>
    </row>
    <row r="212" spans="1:10" s="36" customFormat="1" ht="26.25" hidden="1" outlineLevel="3">
      <c r="A212" s="29" t="s">
        <v>14</v>
      </c>
      <c r="B212" s="29" t="str">
        <f>"06.545347ГВС"</f>
        <v>06.545347ГВС</v>
      </c>
      <c r="C212" s="29" t="s">
        <v>261</v>
      </c>
      <c r="D212" s="30"/>
      <c r="E212" s="31" t="s">
        <v>262</v>
      </c>
      <c r="F212" s="32" t="s">
        <v>17</v>
      </c>
      <c r="G212" s="33" t="s">
        <v>210</v>
      </c>
      <c r="H212" s="34">
        <v>835909.77999999991</v>
      </c>
      <c r="I212" s="32" t="s">
        <v>31</v>
      </c>
      <c r="J212" s="35">
        <v>42460</v>
      </c>
    </row>
    <row r="213" spans="1:10" s="36" customFormat="1" ht="26.25" hidden="1" outlineLevel="3">
      <c r="A213" s="29" t="s">
        <v>14</v>
      </c>
      <c r="B213" s="29" t="str">
        <f>"06.547018-ТЭ"</f>
        <v>06.547018-ТЭ</v>
      </c>
      <c r="C213" s="29" t="s">
        <v>62</v>
      </c>
      <c r="D213" s="30"/>
      <c r="E213" s="31" t="s">
        <v>263</v>
      </c>
      <c r="F213" s="32" t="s">
        <v>17</v>
      </c>
      <c r="G213" s="33" t="s">
        <v>189</v>
      </c>
      <c r="H213" s="34">
        <v>3.9999999979045242E-2</v>
      </c>
      <c r="I213" s="32" t="s">
        <v>28</v>
      </c>
      <c r="J213" s="35">
        <v>42460</v>
      </c>
    </row>
    <row r="214" spans="1:10" s="36" customFormat="1" ht="26.25" customHeight="1" outlineLevel="3">
      <c r="A214" s="29" t="s">
        <v>14</v>
      </c>
      <c r="B214" s="29" t="str">
        <f>"06.555054-ТЭ"</f>
        <v>06.555054-ТЭ</v>
      </c>
      <c r="C214" s="29" t="s">
        <v>109</v>
      </c>
      <c r="D214" s="30"/>
      <c r="E214" s="31" t="s">
        <v>264</v>
      </c>
      <c r="F214" s="32" t="s">
        <v>17</v>
      </c>
      <c r="G214" s="33" t="s">
        <v>18</v>
      </c>
      <c r="H214" s="34">
        <v>20050042.420000002</v>
      </c>
      <c r="I214" s="32" t="s">
        <v>265</v>
      </c>
      <c r="J214" s="35">
        <v>42460</v>
      </c>
    </row>
    <row r="215" spans="1:10" s="36" customFormat="1" ht="29.25" customHeight="1" outlineLevel="3">
      <c r="A215" s="29" t="s">
        <v>14</v>
      </c>
      <c r="B215" s="29" t="str">
        <f>"06.555054ГВС"</f>
        <v>06.555054ГВС</v>
      </c>
      <c r="C215" s="29" t="s">
        <v>109</v>
      </c>
      <c r="D215" s="30"/>
      <c r="E215" s="31" t="s">
        <v>264</v>
      </c>
      <c r="F215" s="32" t="s">
        <v>17</v>
      </c>
      <c r="G215" s="33" t="s">
        <v>18</v>
      </c>
      <c r="H215" s="34">
        <v>13449024.4</v>
      </c>
      <c r="I215" s="32" t="s">
        <v>266</v>
      </c>
      <c r="J215" s="35">
        <v>42460</v>
      </c>
    </row>
    <row r="216" spans="1:10" s="36" customFormat="1" ht="26.25" hidden="1" outlineLevel="3">
      <c r="A216" s="29" t="s">
        <v>14</v>
      </c>
      <c r="B216" s="29" t="str">
        <f>"06.570068-ТЭ"</f>
        <v>06.570068-ТЭ</v>
      </c>
      <c r="C216" s="29" t="s">
        <v>51</v>
      </c>
      <c r="D216" s="30" t="s">
        <v>94</v>
      </c>
      <c r="E216" s="37" t="s">
        <v>267</v>
      </c>
      <c r="F216" s="32" t="s">
        <v>70</v>
      </c>
      <c r="G216" s="33" t="s">
        <v>112</v>
      </c>
      <c r="H216" s="34">
        <v>2327178.81</v>
      </c>
      <c r="I216" s="32" t="s">
        <v>266</v>
      </c>
      <c r="J216" s="32" t="s">
        <v>94</v>
      </c>
    </row>
    <row r="217" spans="1:10" s="36" customFormat="1" hidden="1" outlineLevel="3">
      <c r="A217" s="29" t="s">
        <v>14</v>
      </c>
      <c r="B217" s="29" t="str">
        <f>"06.579000-ТЭ"</f>
        <v>06.579000-ТЭ</v>
      </c>
      <c r="C217" s="29" t="s">
        <v>46</v>
      </c>
      <c r="D217" s="30"/>
      <c r="E217" s="31" t="s">
        <v>268</v>
      </c>
      <c r="F217" s="32" t="s">
        <v>17</v>
      </c>
      <c r="G217" s="33" t="s">
        <v>189</v>
      </c>
      <c r="H217" s="34">
        <v>848900.1100000001</v>
      </c>
      <c r="I217" s="32" t="s">
        <v>19</v>
      </c>
      <c r="J217" s="35">
        <v>42460</v>
      </c>
    </row>
    <row r="218" spans="1:10" s="36" customFormat="1" ht="26.25" hidden="1" outlineLevel="3">
      <c r="A218" s="29" t="s">
        <v>14</v>
      </c>
      <c r="B218" s="29" t="str">
        <f>"06.580036-ТЭ"</f>
        <v>06.580036-ТЭ</v>
      </c>
      <c r="C218" s="29" t="s">
        <v>41</v>
      </c>
      <c r="D218" s="30"/>
      <c r="E218" s="31" t="s">
        <v>269</v>
      </c>
      <c r="F218" s="32" t="s">
        <v>17</v>
      </c>
      <c r="G218" s="33" t="s">
        <v>199</v>
      </c>
      <c r="H218" s="34">
        <v>1814518.8600000003</v>
      </c>
      <c r="I218" s="32" t="s">
        <v>84</v>
      </c>
      <c r="J218" s="35">
        <v>42460</v>
      </c>
    </row>
    <row r="219" spans="1:10" s="36" customFormat="1" ht="26.25" hidden="1" outlineLevel="3">
      <c r="A219" s="29" t="s">
        <v>14</v>
      </c>
      <c r="B219" s="29" t="str">
        <f>"06.590030-ТЭ"</f>
        <v>06.590030-ТЭ</v>
      </c>
      <c r="C219" s="29" t="s">
        <v>51</v>
      </c>
      <c r="D219" s="30"/>
      <c r="E219" s="31" t="s">
        <v>270</v>
      </c>
      <c r="F219" s="32" t="s">
        <v>17</v>
      </c>
      <c r="G219" s="33" t="s">
        <v>210</v>
      </c>
      <c r="H219" s="34">
        <v>1696096.67</v>
      </c>
      <c r="I219" s="32" t="s">
        <v>68</v>
      </c>
      <c r="J219" s="35">
        <v>42460</v>
      </c>
    </row>
    <row r="220" spans="1:10" s="36" customFormat="1" ht="26.25" hidden="1" outlineLevel="3">
      <c r="A220" s="29" t="s">
        <v>14</v>
      </c>
      <c r="B220" s="29" t="str">
        <f>"06.590031-ТЭ"</f>
        <v>06.590031-ТЭ</v>
      </c>
      <c r="C220" s="29" t="s">
        <v>51</v>
      </c>
      <c r="D220" s="30"/>
      <c r="E220" s="31" t="s">
        <v>271</v>
      </c>
      <c r="F220" s="32" t="s">
        <v>17</v>
      </c>
      <c r="G220" s="33" t="s">
        <v>210</v>
      </c>
      <c r="H220" s="34">
        <v>1354344.85</v>
      </c>
      <c r="I220" s="32" t="s">
        <v>56</v>
      </c>
      <c r="J220" s="35">
        <v>42460</v>
      </c>
    </row>
    <row r="221" spans="1:10" s="36" customFormat="1" ht="26.25" hidden="1" outlineLevel="3">
      <c r="A221" s="29" t="s">
        <v>14</v>
      </c>
      <c r="B221" s="29" t="str">
        <f>"06.590046-ТЭ"</f>
        <v>06.590046-ТЭ</v>
      </c>
      <c r="C221" s="29" t="s">
        <v>254</v>
      </c>
      <c r="D221" s="30"/>
      <c r="E221" s="31" t="s">
        <v>272</v>
      </c>
      <c r="F221" s="32" t="s">
        <v>17</v>
      </c>
      <c r="G221" s="33" t="s">
        <v>223</v>
      </c>
      <c r="H221" s="34">
        <v>1004805.31</v>
      </c>
      <c r="I221" s="32" t="s">
        <v>19</v>
      </c>
      <c r="J221" s="35">
        <v>42460</v>
      </c>
    </row>
    <row r="222" spans="1:10" s="36" customFormat="1" ht="26.25" hidden="1" outlineLevel="3">
      <c r="A222" s="29" t="s">
        <v>14</v>
      </c>
      <c r="B222" s="29" t="str">
        <f>"06.590056-ТЭ"</f>
        <v>06.590056-ТЭ</v>
      </c>
      <c r="C222" s="29" t="s">
        <v>273</v>
      </c>
      <c r="D222" s="30"/>
      <c r="E222" s="31" t="s">
        <v>274</v>
      </c>
      <c r="F222" s="32" t="s">
        <v>17</v>
      </c>
      <c r="G222" s="33" t="s">
        <v>210</v>
      </c>
      <c r="H222" s="34">
        <v>1238833.3599999999</v>
      </c>
      <c r="I222" s="32" t="s">
        <v>275</v>
      </c>
      <c r="J222" s="35">
        <v>42460</v>
      </c>
    </row>
    <row r="223" spans="1:10" s="36" customFormat="1" ht="26.25" hidden="1" outlineLevel="3">
      <c r="A223" s="29" t="s">
        <v>14</v>
      </c>
      <c r="B223" s="29" t="str">
        <f>"13092"</f>
        <v>13092</v>
      </c>
      <c r="C223" s="29" t="s">
        <v>276</v>
      </c>
      <c r="D223" s="30"/>
      <c r="E223" s="31" t="s">
        <v>277</v>
      </c>
      <c r="F223" s="32" t="s">
        <v>17</v>
      </c>
      <c r="G223" s="33" t="s">
        <v>97</v>
      </c>
      <c r="H223" s="34">
        <v>59798.649999999994</v>
      </c>
      <c r="I223" s="32" t="s">
        <v>28</v>
      </c>
      <c r="J223" s="35">
        <v>42460</v>
      </c>
    </row>
    <row r="224" spans="1:10" s="36" customFormat="1" hidden="1" outlineLevel="3">
      <c r="A224" s="29" t="s">
        <v>14</v>
      </c>
      <c r="B224" s="29" t="str">
        <f>"14046"</f>
        <v>14046</v>
      </c>
      <c r="C224" s="29" t="s">
        <v>278</v>
      </c>
      <c r="D224" s="30"/>
      <c r="E224" s="31" t="s">
        <v>279</v>
      </c>
      <c r="F224" s="32" t="s">
        <v>17</v>
      </c>
      <c r="G224" s="33" t="s">
        <v>112</v>
      </c>
      <c r="H224" s="34">
        <v>1.4499999999825377</v>
      </c>
      <c r="I224" s="32" t="s">
        <v>23</v>
      </c>
      <c r="J224" s="35">
        <v>42460</v>
      </c>
    </row>
    <row r="225" spans="1:10" s="36" customFormat="1" ht="26.25" hidden="1" outlineLevel="3">
      <c r="A225" s="29" t="s">
        <v>14</v>
      </c>
      <c r="B225" s="29" t="str">
        <f>"41041"</f>
        <v>41041</v>
      </c>
      <c r="C225" s="29" t="s">
        <v>280</v>
      </c>
      <c r="D225" s="30"/>
      <c r="E225" s="31" t="s">
        <v>281</v>
      </c>
      <c r="F225" s="32" t="s">
        <v>17</v>
      </c>
      <c r="G225" s="33" t="s">
        <v>199</v>
      </c>
      <c r="H225" s="34">
        <v>265072.48000000004</v>
      </c>
      <c r="I225" s="32" t="s">
        <v>94</v>
      </c>
      <c r="J225" s="35">
        <v>42460</v>
      </c>
    </row>
    <row r="226" spans="1:10" s="36" customFormat="1" ht="26.25" hidden="1" outlineLevel="3">
      <c r="A226" s="29" t="s">
        <v>14</v>
      </c>
      <c r="B226" s="29" t="str">
        <f>"41132"</f>
        <v>41132</v>
      </c>
      <c r="C226" s="29" t="s">
        <v>282</v>
      </c>
      <c r="D226" s="30"/>
      <c r="E226" s="31" t="s">
        <v>283</v>
      </c>
      <c r="F226" s="32" t="s">
        <v>17</v>
      </c>
      <c r="G226" s="33" t="s">
        <v>210</v>
      </c>
      <c r="H226" s="34">
        <v>737077.04</v>
      </c>
      <c r="I226" s="32" t="s">
        <v>23</v>
      </c>
      <c r="J226" s="35">
        <v>42460</v>
      </c>
    </row>
    <row r="227" spans="1:10" s="36" customFormat="1" hidden="1" outlineLevel="3">
      <c r="A227" s="29" t="s">
        <v>14</v>
      </c>
      <c r="B227" s="29" t="str">
        <f>"44039"</f>
        <v>44039</v>
      </c>
      <c r="C227" s="29" t="s">
        <v>284</v>
      </c>
      <c r="D227" s="30"/>
      <c r="E227" s="31" t="s">
        <v>285</v>
      </c>
      <c r="F227" s="32" t="s">
        <v>17</v>
      </c>
      <c r="G227" s="33" t="s">
        <v>189</v>
      </c>
      <c r="H227" s="34">
        <v>1468776.99</v>
      </c>
      <c r="I227" s="32" t="s">
        <v>48</v>
      </c>
      <c r="J227" s="35">
        <v>42460</v>
      </c>
    </row>
    <row r="228" spans="1:10" s="36" customFormat="1" ht="26.25" hidden="1" outlineLevel="3">
      <c r="A228" s="29" t="s">
        <v>14</v>
      </c>
      <c r="B228" s="29" t="str">
        <f>"45061"</f>
        <v>45061</v>
      </c>
      <c r="C228" s="29" t="s">
        <v>286</v>
      </c>
      <c r="D228" s="30"/>
      <c r="E228" s="31" t="s">
        <v>241</v>
      </c>
      <c r="F228" s="32" t="s">
        <v>17</v>
      </c>
      <c r="G228" s="33" t="s">
        <v>223</v>
      </c>
      <c r="H228" s="34">
        <v>361728.87</v>
      </c>
      <c r="I228" s="32" t="s">
        <v>23</v>
      </c>
      <c r="J228" s="35">
        <v>42460</v>
      </c>
    </row>
    <row r="229" spans="1:10" s="36" customFormat="1" hidden="1" outlineLevel="3">
      <c r="A229" s="29" t="s">
        <v>14</v>
      </c>
      <c r="B229" s="29" t="str">
        <f>"5.23104/1"</f>
        <v>5.23104/1</v>
      </c>
      <c r="C229" s="29" t="s">
        <v>287</v>
      </c>
      <c r="D229" s="30"/>
      <c r="E229" s="31" t="s">
        <v>288</v>
      </c>
      <c r="F229" s="32" t="s">
        <v>17</v>
      </c>
      <c r="G229" s="33" t="s">
        <v>148</v>
      </c>
      <c r="H229" s="34">
        <v>1.999999990221113E-2</v>
      </c>
      <c r="I229" s="32" t="s">
        <v>23</v>
      </c>
      <c r="J229" s="35">
        <v>42460</v>
      </c>
    </row>
    <row r="230" spans="1:10" s="36" customFormat="1" hidden="1" outlineLevel="3">
      <c r="A230" s="29" t="s">
        <v>14</v>
      </c>
      <c r="B230" s="29" t="str">
        <f>"5.26903"</f>
        <v>5.26903</v>
      </c>
      <c r="C230" s="29" t="s">
        <v>289</v>
      </c>
      <c r="D230" s="30"/>
      <c r="E230" s="31" t="s">
        <v>290</v>
      </c>
      <c r="F230" s="32" t="s">
        <v>17</v>
      </c>
      <c r="G230" s="33" t="s">
        <v>126</v>
      </c>
      <c r="H230" s="34">
        <v>2022904.0899999999</v>
      </c>
      <c r="I230" s="32" t="s">
        <v>28</v>
      </c>
      <c r="J230" s="35">
        <v>42460</v>
      </c>
    </row>
    <row r="231" spans="1:10" s="36" customFormat="1" ht="26.25" hidden="1" outlineLevel="3">
      <c r="A231" s="29" t="s">
        <v>14</v>
      </c>
      <c r="B231" s="29" t="str">
        <f>"5.30403/1"</f>
        <v>5.30403/1</v>
      </c>
      <c r="C231" s="29" t="s">
        <v>291</v>
      </c>
      <c r="D231" s="30"/>
      <c r="E231" s="31" t="s">
        <v>292</v>
      </c>
      <c r="F231" s="32" t="s">
        <v>17</v>
      </c>
      <c r="G231" s="33" t="s">
        <v>22</v>
      </c>
      <c r="H231" s="34">
        <v>963226.13000000012</v>
      </c>
      <c r="I231" s="32" t="s">
        <v>84</v>
      </c>
      <c r="J231" s="35">
        <v>42460</v>
      </c>
    </row>
    <row r="232" spans="1:10" s="36" customFormat="1" ht="26.25" hidden="1" outlineLevel="3">
      <c r="A232" s="29" t="s">
        <v>14</v>
      </c>
      <c r="B232" s="29" t="str">
        <f>"5.31302/0"</f>
        <v>5.31302/0</v>
      </c>
      <c r="C232" s="29" t="s">
        <v>293</v>
      </c>
      <c r="D232" s="30"/>
      <c r="E232" s="31" t="s">
        <v>294</v>
      </c>
      <c r="F232" s="32" t="s">
        <v>17</v>
      </c>
      <c r="G232" s="33" t="s">
        <v>22</v>
      </c>
      <c r="H232" s="34">
        <v>1309899.44</v>
      </c>
      <c r="I232" s="32" t="s">
        <v>182</v>
      </c>
      <c r="J232" s="35">
        <v>42460</v>
      </c>
    </row>
    <row r="233" spans="1:10" s="36" customFormat="1" ht="26.25" hidden="1" outlineLevel="3">
      <c r="A233" s="29" t="s">
        <v>295</v>
      </c>
      <c r="B233" s="29" t="str">
        <f>"06.520303-ТЭ"</f>
        <v>06.520303-ТЭ</v>
      </c>
      <c r="C233" s="29" t="s">
        <v>51</v>
      </c>
      <c r="D233" s="30"/>
      <c r="E233" s="31" t="s">
        <v>296</v>
      </c>
      <c r="F233" s="32" t="s">
        <v>17</v>
      </c>
      <c r="G233" s="33" t="s">
        <v>126</v>
      </c>
      <c r="H233" s="34">
        <v>5249425.0200000005</v>
      </c>
      <c r="I233" s="32" t="s">
        <v>48</v>
      </c>
      <c r="J233" s="35">
        <v>42460</v>
      </c>
    </row>
    <row r="234" spans="1:10" s="36" customFormat="1" ht="26.25" hidden="1" outlineLevel="3">
      <c r="A234" s="29" t="s">
        <v>295</v>
      </c>
      <c r="B234" s="29" t="str">
        <f>"06.530156-ТЭ"</f>
        <v>06.530156-ТЭ</v>
      </c>
      <c r="C234" s="29" t="s">
        <v>190</v>
      </c>
      <c r="D234" s="30"/>
      <c r="E234" s="31" t="s">
        <v>297</v>
      </c>
      <c r="F234" s="32" t="s">
        <v>17</v>
      </c>
      <c r="G234" s="33" t="s">
        <v>189</v>
      </c>
      <c r="H234" s="34">
        <v>1.0000000009313226E-2</v>
      </c>
      <c r="I234" s="32" t="s">
        <v>141</v>
      </c>
      <c r="J234" s="35">
        <v>42460</v>
      </c>
    </row>
    <row r="235" spans="1:10" s="36" customFormat="1" hidden="1" outlineLevel="3">
      <c r="A235" s="29" t="s">
        <v>298</v>
      </c>
      <c r="B235" s="29" t="str">
        <f>"06.300038-ТЭ"</f>
        <v>06.300038-ТЭ</v>
      </c>
      <c r="C235" s="29" t="s">
        <v>129</v>
      </c>
      <c r="D235" s="30"/>
      <c r="E235" s="31" t="s">
        <v>299</v>
      </c>
      <c r="F235" s="32" t="s">
        <v>17</v>
      </c>
      <c r="G235" s="33" t="s">
        <v>148</v>
      </c>
      <c r="H235" s="34">
        <v>767197.88</v>
      </c>
      <c r="I235" s="32" t="s">
        <v>19</v>
      </c>
      <c r="J235" s="35">
        <v>42460</v>
      </c>
    </row>
    <row r="236" spans="1:10" s="36" customFormat="1" ht="39" hidden="1" outlineLevel="3">
      <c r="A236" s="29" t="s">
        <v>298</v>
      </c>
      <c r="B236" s="29" t="str">
        <f>"06.518445-ТЭ"</f>
        <v>06.518445-ТЭ</v>
      </c>
      <c r="C236" s="29" t="s">
        <v>24</v>
      </c>
      <c r="D236" s="30"/>
      <c r="E236" s="31" t="s">
        <v>300</v>
      </c>
      <c r="F236" s="32" t="s">
        <v>17</v>
      </c>
      <c r="G236" s="33" t="s">
        <v>22</v>
      </c>
      <c r="H236" s="34">
        <v>1440419.1099999999</v>
      </c>
      <c r="I236" s="32" t="s">
        <v>301</v>
      </c>
      <c r="J236" s="35">
        <v>42460</v>
      </c>
    </row>
    <row r="237" spans="1:10" s="36" customFormat="1" ht="39" hidden="1" outlineLevel="3">
      <c r="A237" s="29" t="s">
        <v>298</v>
      </c>
      <c r="B237" s="29" t="str">
        <f>"06.518445ГВС"</f>
        <v>06.518445ГВС</v>
      </c>
      <c r="C237" s="29" t="s">
        <v>24</v>
      </c>
      <c r="D237" s="30"/>
      <c r="E237" s="31" t="s">
        <v>300</v>
      </c>
      <c r="F237" s="32" t="s">
        <v>17</v>
      </c>
      <c r="G237" s="33" t="s">
        <v>22</v>
      </c>
      <c r="H237" s="34">
        <v>652391.71</v>
      </c>
      <c r="I237" s="32" t="s">
        <v>48</v>
      </c>
      <c r="J237" s="35">
        <v>42460</v>
      </c>
    </row>
    <row r="238" spans="1:10" s="36" customFormat="1" ht="39" hidden="1" outlineLevel="3">
      <c r="A238" s="29" t="s">
        <v>298</v>
      </c>
      <c r="B238" s="29" t="str">
        <f>"06.523376-ТЭ"</f>
        <v>06.523376-ТЭ</v>
      </c>
      <c r="C238" s="29" t="s">
        <v>24</v>
      </c>
      <c r="D238" s="30"/>
      <c r="E238" s="31" t="s">
        <v>300</v>
      </c>
      <c r="F238" s="32" t="s">
        <v>17</v>
      </c>
      <c r="G238" s="33" t="s">
        <v>26</v>
      </c>
      <c r="H238" s="34">
        <v>402963.26999999996</v>
      </c>
      <c r="I238" s="32" t="s">
        <v>27</v>
      </c>
      <c r="J238" s="35">
        <v>42460</v>
      </c>
    </row>
    <row r="239" spans="1:10" s="36" customFormat="1" ht="39" hidden="1" outlineLevel="3">
      <c r="A239" s="29" t="s">
        <v>298</v>
      </c>
      <c r="B239" s="29" t="str">
        <f>"06.523376ГВС"</f>
        <v>06.523376ГВС</v>
      </c>
      <c r="C239" s="29" t="s">
        <v>24</v>
      </c>
      <c r="D239" s="30"/>
      <c r="E239" s="31" t="s">
        <v>300</v>
      </c>
      <c r="F239" s="32" t="s">
        <v>17</v>
      </c>
      <c r="G239" s="33" t="s">
        <v>26</v>
      </c>
      <c r="H239" s="34">
        <v>673476.75</v>
      </c>
      <c r="I239" s="32" t="s">
        <v>33</v>
      </c>
      <c r="J239" s="35">
        <v>42460</v>
      </c>
    </row>
    <row r="240" spans="1:10" s="36" customFormat="1" ht="39" hidden="1" outlineLevel="3">
      <c r="A240" s="29" t="s">
        <v>298</v>
      </c>
      <c r="B240" s="29" t="str">
        <f>"06.545332-ТЭ"</f>
        <v>06.545332-ТЭ</v>
      </c>
      <c r="C240" s="29" t="s">
        <v>302</v>
      </c>
      <c r="D240" s="30" t="s">
        <v>303</v>
      </c>
      <c r="E240" s="37" t="s">
        <v>304</v>
      </c>
      <c r="F240" s="32" t="s">
        <v>70</v>
      </c>
      <c r="G240" s="33" t="s">
        <v>210</v>
      </c>
      <c r="H240" s="34">
        <v>3030760.85</v>
      </c>
      <c r="I240" s="32" t="s">
        <v>182</v>
      </c>
      <c r="J240" s="32" t="s">
        <v>48</v>
      </c>
    </row>
    <row r="241" spans="1:10" s="36" customFormat="1" ht="39" hidden="1" outlineLevel="3">
      <c r="A241" s="29" t="s">
        <v>298</v>
      </c>
      <c r="B241" s="29" t="str">
        <f>"06.545332ГВС"</f>
        <v>06.545332ГВС</v>
      </c>
      <c r="C241" s="29" t="s">
        <v>302</v>
      </c>
      <c r="D241" s="30" t="s">
        <v>303</v>
      </c>
      <c r="E241" s="37" t="s">
        <v>304</v>
      </c>
      <c r="F241" s="32" t="s">
        <v>70</v>
      </c>
      <c r="G241" s="33" t="s">
        <v>210</v>
      </c>
      <c r="H241" s="34">
        <v>1339769.08</v>
      </c>
      <c r="I241" s="32" t="s">
        <v>71</v>
      </c>
      <c r="J241" s="32" t="s">
        <v>303</v>
      </c>
    </row>
    <row r="242" spans="1:10" s="36" customFormat="1" ht="26.25" hidden="1" outlineLevel="3">
      <c r="A242" s="29" t="s">
        <v>298</v>
      </c>
      <c r="B242" s="29" t="str">
        <f>"06.545342ГВС"</f>
        <v>06.545342ГВС</v>
      </c>
      <c r="C242" s="29" t="s">
        <v>20</v>
      </c>
      <c r="D242" s="30" t="s">
        <v>115</v>
      </c>
      <c r="E242" s="37" t="s">
        <v>305</v>
      </c>
      <c r="F242" s="32" t="s">
        <v>70</v>
      </c>
      <c r="G242" s="33" t="s">
        <v>210</v>
      </c>
      <c r="H242" s="34">
        <v>410115.5</v>
      </c>
      <c r="I242" s="32" t="s">
        <v>74</v>
      </c>
      <c r="J242" s="32" t="s">
        <v>115</v>
      </c>
    </row>
    <row r="243" spans="1:10" s="36" customFormat="1" ht="39" hidden="1" outlineLevel="3">
      <c r="A243" s="29" t="s">
        <v>298</v>
      </c>
      <c r="B243" s="29" t="str">
        <f>"06.547061-ТЭ"</f>
        <v>06.547061-ТЭ</v>
      </c>
      <c r="C243" s="29" t="s">
        <v>79</v>
      </c>
      <c r="D243" s="30"/>
      <c r="E243" s="31" t="s">
        <v>300</v>
      </c>
      <c r="F243" s="32" t="s">
        <v>17</v>
      </c>
      <c r="G243" s="33" t="s">
        <v>189</v>
      </c>
      <c r="H243" s="34">
        <v>3516635.33</v>
      </c>
      <c r="I243" s="32" t="s">
        <v>303</v>
      </c>
      <c r="J243" s="35">
        <v>42460</v>
      </c>
    </row>
    <row r="244" spans="1:10" s="36" customFormat="1" ht="26.25" hidden="1" outlineLevel="3">
      <c r="A244" s="29" t="s">
        <v>306</v>
      </c>
      <c r="B244" s="29" t="str">
        <f>"06.300030-ТЭ"</f>
        <v>06.300030-ТЭ</v>
      </c>
      <c r="C244" s="29" t="s">
        <v>307</v>
      </c>
      <c r="D244" s="30"/>
      <c r="E244" s="31" t="s">
        <v>308</v>
      </c>
      <c r="F244" s="32" t="s">
        <v>17</v>
      </c>
      <c r="G244" s="33" t="s">
        <v>193</v>
      </c>
      <c r="H244" s="34">
        <v>888535.74999999988</v>
      </c>
      <c r="I244" s="32" t="s">
        <v>19</v>
      </c>
      <c r="J244" s="35">
        <v>42460</v>
      </c>
    </row>
    <row r="245" spans="1:10" s="36" customFormat="1" ht="26.25" hidden="1" outlineLevel="3">
      <c r="A245" s="29" t="s">
        <v>306</v>
      </c>
      <c r="B245" s="29" t="str">
        <f>"06.300050-ТЭ"</f>
        <v>06.300050-ТЭ</v>
      </c>
      <c r="C245" s="29" t="s">
        <v>185</v>
      </c>
      <c r="D245" s="30"/>
      <c r="E245" s="31" t="s">
        <v>309</v>
      </c>
      <c r="F245" s="32" t="s">
        <v>17</v>
      </c>
      <c r="G245" s="33" t="s">
        <v>199</v>
      </c>
      <c r="H245" s="34">
        <v>2713681.4899999998</v>
      </c>
      <c r="I245" s="32" t="s">
        <v>65</v>
      </c>
      <c r="J245" s="35">
        <v>42460</v>
      </c>
    </row>
    <row r="246" spans="1:10" s="36" customFormat="1" ht="26.25" hidden="1" outlineLevel="3">
      <c r="A246" s="29" t="s">
        <v>306</v>
      </c>
      <c r="B246" s="29" t="str">
        <f>"06.300051-ТЭ"</f>
        <v>06.300051-ТЭ</v>
      </c>
      <c r="C246" s="29" t="s">
        <v>185</v>
      </c>
      <c r="D246" s="30"/>
      <c r="E246" s="31" t="s">
        <v>309</v>
      </c>
      <c r="F246" s="32" t="s">
        <v>17</v>
      </c>
      <c r="G246" s="33" t="s">
        <v>199</v>
      </c>
      <c r="H246" s="34">
        <v>7220209.5800000001</v>
      </c>
      <c r="I246" s="32" t="s">
        <v>65</v>
      </c>
      <c r="J246" s="35">
        <v>42460</v>
      </c>
    </row>
    <row r="247" spans="1:10" s="36" customFormat="1" ht="26.25" hidden="1" outlineLevel="3">
      <c r="A247" s="29" t="s">
        <v>306</v>
      </c>
      <c r="B247" s="29" t="str">
        <f>"06.510250-ТЭ"</f>
        <v>06.510250-ТЭ</v>
      </c>
      <c r="C247" s="29" t="s">
        <v>101</v>
      </c>
      <c r="D247" s="30"/>
      <c r="E247" s="31" t="s">
        <v>310</v>
      </c>
      <c r="F247" s="32" t="s">
        <v>17</v>
      </c>
      <c r="G247" s="33" t="s">
        <v>40</v>
      </c>
      <c r="H247" s="34">
        <v>882347.96</v>
      </c>
      <c r="I247" s="32" t="s">
        <v>23</v>
      </c>
      <c r="J247" s="35">
        <v>42460</v>
      </c>
    </row>
    <row r="248" spans="1:10" s="36" customFormat="1" ht="26.25" hidden="1" outlineLevel="3">
      <c r="A248" s="29" t="s">
        <v>306</v>
      </c>
      <c r="B248" s="29" t="str">
        <f>"06.510250ГВС"</f>
        <v>06.510250ГВС</v>
      </c>
      <c r="C248" s="29" t="s">
        <v>101</v>
      </c>
      <c r="D248" s="30"/>
      <c r="E248" s="31" t="s">
        <v>310</v>
      </c>
      <c r="F248" s="32" t="s">
        <v>17</v>
      </c>
      <c r="G248" s="33" t="s">
        <v>40</v>
      </c>
      <c r="H248" s="34">
        <v>421531.52999999997</v>
      </c>
      <c r="I248" s="32" t="s">
        <v>23</v>
      </c>
      <c r="J248" s="35">
        <v>42460</v>
      </c>
    </row>
    <row r="249" spans="1:10" s="36" customFormat="1" ht="26.25" hidden="1" outlineLevel="3">
      <c r="A249" s="29" t="s">
        <v>306</v>
      </c>
      <c r="B249" s="29" t="str">
        <f>"06.513023-ТЭ"</f>
        <v>06.513023-ТЭ</v>
      </c>
      <c r="C249" s="29" t="s">
        <v>311</v>
      </c>
      <c r="D249" s="30"/>
      <c r="E249" s="31" t="s">
        <v>310</v>
      </c>
      <c r="F249" s="32" t="s">
        <v>17</v>
      </c>
      <c r="G249" s="33" t="s">
        <v>97</v>
      </c>
      <c r="H249" s="34">
        <v>470855.66000000003</v>
      </c>
      <c r="I249" s="32" t="s">
        <v>23</v>
      </c>
      <c r="J249" s="35">
        <v>42460</v>
      </c>
    </row>
    <row r="250" spans="1:10" s="36" customFormat="1" ht="26.25" hidden="1" outlineLevel="3">
      <c r="A250" s="29" t="s">
        <v>306</v>
      </c>
      <c r="B250" s="29" t="str">
        <f>"06.518465ГВС"</f>
        <v>06.518465ГВС</v>
      </c>
      <c r="C250" s="29" t="s">
        <v>312</v>
      </c>
      <c r="D250" s="30" t="s">
        <v>313</v>
      </c>
      <c r="E250" s="37" t="s">
        <v>314</v>
      </c>
      <c r="F250" s="32" t="s">
        <v>70</v>
      </c>
      <c r="G250" s="33" t="s">
        <v>22</v>
      </c>
      <c r="H250" s="34">
        <v>1672448.18</v>
      </c>
      <c r="I250" s="32" t="s">
        <v>315</v>
      </c>
      <c r="J250" s="32" t="s">
        <v>313</v>
      </c>
    </row>
    <row r="251" spans="1:10" s="36" customFormat="1" ht="26.25" hidden="1" outlineLevel="3">
      <c r="A251" s="29" t="s">
        <v>306</v>
      </c>
      <c r="B251" s="29" t="str">
        <f>"06.518504-ТЭ"</f>
        <v>06.518504-ТЭ</v>
      </c>
      <c r="C251" s="29" t="s">
        <v>307</v>
      </c>
      <c r="D251" s="30"/>
      <c r="E251" s="31" t="s">
        <v>316</v>
      </c>
      <c r="F251" s="32" t="s">
        <v>17</v>
      </c>
      <c r="G251" s="33" t="s">
        <v>40</v>
      </c>
      <c r="H251" s="34">
        <v>363605.03</v>
      </c>
      <c r="I251" s="32" t="s">
        <v>19</v>
      </c>
      <c r="J251" s="35">
        <v>42460</v>
      </c>
    </row>
    <row r="252" spans="1:10" s="36" customFormat="1" ht="26.25" hidden="1" outlineLevel="3">
      <c r="A252" s="29" t="s">
        <v>306</v>
      </c>
      <c r="B252" s="29" t="str">
        <f>"06.518504ГВС"</f>
        <v>06.518504ГВС</v>
      </c>
      <c r="C252" s="29" t="s">
        <v>307</v>
      </c>
      <c r="D252" s="30"/>
      <c r="E252" s="31" t="s">
        <v>316</v>
      </c>
      <c r="F252" s="32" t="s">
        <v>17</v>
      </c>
      <c r="G252" s="33" t="s">
        <v>40</v>
      </c>
      <c r="H252" s="34">
        <v>142267.79999999996</v>
      </c>
      <c r="I252" s="32" t="s">
        <v>19</v>
      </c>
      <c r="J252" s="35">
        <v>42460</v>
      </c>
    </row>
    <row r="253" spans="1:10" s="36" customFormat="1" ht="26.25" hidden="1" outlineLevel="3">
      <c r="A253" s="29" t="s">
        <v>306</v>
      </c>
      <c r="B253" s="29" t="str">
        <f>"06.520402-ТЭ"</f>
        <v>06.520402-ТЭ</v>
      </c>
      <c r="C253" s="29" t="s">
        <v>317</v>
      </c>
      <c r="D253" s="30"/>
      <c r="E253" s="31" t="s">
        <v>318</v>
      </c>
      <c r="F253" s="32" t="s">
        <v>17</v>
      </c>
      <c r="G253" s="33" t="s">
        <v>126</v>
      </c>
      <c r="H253" s="34">
        <v>1815531.39</v>
      </c>
      <c r="I253" s="32" t="s">
        <v>319</v>
      </c>
      <c r="J253" s="35">
        <v>42460</v>
      </c>
    </row>
    <row r="254" spans="1:10" s="36" customFormat="1" ht="26.25" hidden="1" outlineLevel="3">
      <c r="A254" s="29" t="s">
        <v>306</v>
      </c>
      <c r="B254" s="29" t="str">
        <f>"06.520402ГВС"</f>
        <v>06.520402ГВС</v>
      </c>
      <c r="C254" s="29" t="s">
        <v>317</v>
      </c>
      <c r="D254" s="30"/>
      <c r="E254" s="31" t="s">
        <v>318</v>
      </c>
      <c r="F254" s="32" t="s">
        <v>17</v>
      </c>
      <c r="G254" s="33" t="s">
        <v>126</v>
      </c>
      <c r="H254" s="34">
        <v>224574.60000000003</v>
      </c>
      <c r="I254" s="32" t="s">
        <v>301</v>
      </c>
      <c r="J254" s="35">
        <v>42460</v>
      </c>
    </row>
    <row r="255" spans="1:10" s="36" customFormat="1" ht="26.25" hidden="1" outlineLevel="3">
      <c r="A255" s="29" t="s">
        <v>306</v>
      </c>
      <c r="B255" s="29" t="str">
        <f>"06.520435-ТЭ"</f>
        <v>06.520435-ТЭ</v>
      </c>
      <c r="C255" s="29" t="s">
        <v>135</v>
      </c>
      <c r="D255" s="30"/>
      <c r="E255" s="31" t="s">
        <v>320</v>
      </c>
      <c r="F255" s="32" t="s">
        <v>17</v>
      </c>
      <c r="G255" s="33" t="s">
        <v>126</v>
      </c>
      <c r="H255" s="34">
        <v>304560.3899999999</v>
      </c>
      <c r="I255" s="32" t="s">
        <v>23</v>
      </c>
      <c r="J255" s="35">
        <v>42460</v>
      </c>
    </row>
    <row r="256" spans="1:10" s="36" customFormat="1" ht="26.25" hidden="1" outlineLevel="3">
      <c r="A256" s="29" t="s">
        <v>306</v>
      </c>
      <c r="B256" s="29" t="str">
        <f>"06.523344-ТЭ"</f>
        <v>06.523344-ТЭ</v>
      </c>
      <c r="C256" s="29" t="s">
        <v>321</v>
      </c>
      <c r="D256" s="30"/>
      <c r="E256" s="31" t="s">
        <v>322</v>
      </c>
      <c r="F256" s="32" t="s">
        <v>17</v>
      </c>
      <c r="G256" s="33" t="s">
        <v>26</v>
      </c>
      <c r="H256" s="34">
        <v>1038552.65</v>
      </c>
      <c r="I256" s="32" t="s">
        <v>27</v>
      </c>
      <c r="J256" s="35">
        <v>42460</v>
      </c>
    </row>
    <row r="257" spans="1:10" s="36" customFormat="1" ht="26.25" hidden="1" outlineLevel="3">
      <c r="A257" s="29" t="s">
        <v>306</v>
      </c>
      <c r="B257" s="29" t="str">
        <f>"06.523344ГВС"</f>
        <v>06.523344ГВС</v>
      </c>
      <c r="C257" s="29" t="s">
        <v>178</v>
      </c>
      <c r="D257" s="30"/>
      <c r="E257" s="31" t="s">
        <v>322</v>
      </c>
      <c r="F257" s="32" t="s">
        <v>17</v>
      </c>
      <c r="G257" s="33" t="s">
        <v>26</v>
      </c>
      <c r="H257" s="34">
        <v>976594.25</v>
      </c>
      <c r="I257" s="32" t="s">
        <v>48</v>
      </c>
      <c r="J257" s="35">
        <v>42460</v>
      </c>
    </row>
    <row r="258" spans="1:10" s="36" customFormat="1" ht="39" hidden="1" outlineLevel="3">
      <c r="A258" s="29" t="s">
        <v>306</v>
      </c>
      <c r="B258" s="29" t="str">
        <f>"06.523387-ТЭ"</f>
        <v>06.523387-ТЭ</v>
      </c>
      <c r="C258" s="29" t="s">
        <v>166</v>
      </c>
      <c r="D258" s="30"/>
      <c r="E258" s="31" t="s">
        <v>323</v>
      </c>
      <c r="F258" s="32" t="s">
        <v>17</v>
      </c>
      <c r="G258" s="33" t="s">
        <v>26</v>
      </c>
      <c r="H258" s="34">
        <v>2256769.12</v>
      </c>
      <c r="I258" s="32" t="s">
        <v>23</v>
      </c>
      <c r="J258" s="35">
        <v>42460</v>
      </c>
    </row>
    <row r="259" spans="1:10" s="36" customFormat="1" ht="26.25" hidden="1" outlineLevel="3">
      <c r="A259" s="29" t="s">
        <v>306</v>
      </c>
      <c r="B259" s="29" t="str">
        <f>"06.523389-ТЭ"</f>
        <v>06.523389-ТЭ</v>
      </c>
      <c r="C259" s="29" t="s">
        <v>118</v>
      </c>
      <c r="D259" s="30"/>
      <c r="E259" s="31" t="s">
        <v>324</v>
      </c>
      <c r="F259" s="32" t="s">
        <v>17</v>
      </c>
      <c r="G259" s="33" t="s">
        <v>26</v>
      </c>
      <c r="H259" s="34">
        <v>3509038.7199999997</v>
      </c>
      <c r="I259" s="32" t="s">
        <v>28</v>
      </c>
      <c r="J259" s="35">
        <v>42460</v>
      </c>
    </row>
    <row r="260" spans="1:10" s="36" customFormat="1" ht="26.25" hidden="1" outlineLevel="3">
      <c r="A260" s="29" t="s">
        <v>306</v>
      </c>
      <c r="B260" s="29" t="str">
        <f>"06.523389ГВС"</f>
        <v>06.523389ГВС</v>
      </c>
      <c r="C260" s="29" t="s">
        <v>118</v>
      </c>
      <c r="D260" s="30"/>
      <c r="E260" s="31" t="s">
        <v>324</v>
      </c>
      <c r="F260" s="32" t="s">
        <v>17</v>
      </c>
      <c r="G260" s="33" t="s">
        <v>26</v>
      </c>
      <c r="H260" s="34">
        <v>2391004.0699999998</v>
      </c>
      <c r="I260" s="32" t="s">
        <v>141</v>
      </c>
      <c r="J260" s="35">
        <v>42460</v>
      </c>
    </row>
    <row r="261" spans="1:10" s="36" customFormat="1" ht="39" hidden="1" outlineLevel="3">
      <c r="A261" s="29" t="s">
        <v>306</v>
      </c>
      <c r="B261" s="29" t="str">
        <f>"06.523400-ТЭ"</f>
        <v>06.523400-ТЭ</v>
      </c>
      <c r="C261" s="29" t="s">
        <v>325</v>
      </c>
      <c r="D261" s="30"/>
      <c r="E261" s="31" t="s">
        <v>323</v>
      </c>
      <c r="F261" s="32" t="s">
        <v>17</v>
      </c>
      <c r="G261" s="33" t="s">
        <v>26</v>
      </c>
      <c r="H261" s="34">
        <v>654727.12000000011</v>
      </c>
      <c r="I261" s="32" t="s">
        <v>23</v>
      </c>
      <c r="J261" s="35">
        <v>42460</v>
      </c>
    </row>
    <row r="262" spans="1:10" s="36" customFormat="1" ht="39" hidden="1" outlineLevel="3">
      <c r="A262" s="29" t="s">
        <v>306</v>
      </c>
      <c r="B262" s="29" t="str">
        <f>"06.523402-ТЭ"</f>
        <v>06.523402-ТЭ</v>
      </c>
      <c r="C262" s="29" t="s">
        <v>326</v>
      </c>
      <c r="D262" s="30"/>
      <c r="E262" s="31" t="s">
        <v>323</v>
      </c>
      <c r="F262" s="32" t="s">
        <v>17</v>
      </c>
      <c r="G262" s="33" t="s">
        <v>26</v>
      </c>
      <c r="H262" s="34">
        <v>734458.65</v>
      </c>
      <c r="I262" s="32" t="s">
        <v>23</v>
      </c>
      <c r="J262" s="35">
        <v>42460</v>
      </c>
    </row>
    <row r="263" spans="1:10" s="36" customFormat="1" ht="39" hidden="1" outlineLevel="3">
      <c r="A263" s="29" t="s">
        <v>306</v>
      </c>
      <c r="B263" s="29" t="str">
        <f>"06.523421-ТЭ"</f>
        <v>06.523421-ТЭ</v>
      </c>
      <c r="C263" s="29" t="s">
        <v>327</v>
      </c>
      <c r="D263" s="30"/>
      <c r="E263" s="31" t="s">
        <v>323</v>
      </c>
      <c r="F263" s="32" t="s">
        <v>17</v>
      </c>
      <c r="G263" s="33" t="s">
        <v>26</v>
      </c>
      <c r="H263" s="34">
        <v>3823532.2099999995</v>
      </c>
      <c r="I263" s="32" t="s">
        <v>23</v>
      </c>
      <c r="J263" s="35">
        <v>42460</v>
      </c>
    </row>
    <row r="264" spans="1:10" s="36" customFormat="1" ht="39" hidden="1" outlineLevel="3">
      <c r="A264" s="29" t="s">
        <v>306</v>
      </c>
      <c r="B264" s="29" t="str">
        <f>"06.523425-ТЭ"</f>
        <v>06.523425-ТЭ</v>
      </c>
      <c r="C264" s="29" t="s">
        <v>302</v>
      </c>
      <c r="D264" s="30" t="s">
        <v>31</v>
      </c>
      <c r="E264" s="37" t="s">
        <v>328</v>
      </c>
      <c r="F264" s="32" t="s">
        <v>70</v>
      </c>
      <c r="G264" s="33" t="s">
        <v>26</v>
      </c>
      <c r="H264" s="34">
        <v>4300217.3099999996</v>
      </c>
      <c r="I264" s="32" t="s">
        <v>141</v>
      </c>
      <c r="J264" s="32" t="s">
        <v>31</v>
      </c>
    </row>
    <row r="265" spans="1:10" s="36" customFormat="1" ht="39" hidden="1" outlineLevel="3">
      <c r="A265" s="29" t="s">
        <v>306</v>
      </c>
      <c r="B265" s="29" t="str">
        <f>"06.523430-ТЭ"</f>
        <v>06.523430-ТЭ</v>
      </c>
      <c r="C265" s="29" t="s">
        <v>131</v>
      </c>
      <c r="D265" s="30" t="s">
        <v>65</v>
      </c>
      <c r="E265" s="37" t="s">
        <v>328</v>
      </c>
      <c r="F265" s="32" t="s">
        <v>70</v>
      </c>
      <c r="G265" s="33" t="s">
        <v>26</v>
      </c>
      <c r="H265" s="34">
        <v>1127723.06</v>
      </c>
      <c r="I265" s="32" t="s">
        <v>141</v>
      </c>
      <c r="J265" s="32" t="s">
        <v>65</v>
      </c>
    </row>
    <row r="266" spans="1:10" s="36" customFormat="1" ht="39" hidden="1" outlineLevel="3">
      <c r="A266" s="29" t="s">
        <v>306</v>
      </c>
      <c r="B266" s="29" t="str">
        <f>"06.523431-ТЭ"</f>
        <v>06.523431-ТЭ</v>
      </c>
      <c r="C266" s="29" t="s">
        <v>131</v>
      </c>
      <c r="D266" s="30" t="s">
        <v>31</v>
      </c>
      <c r="E266" s="37" t="s">
        <v>328</v>
      </c>
      <c r="F266" s="32" t="s">
        <v>70</v>
      </c>
      <c r="G266" s="33" t="s">
        <v>26</v>
      </c>
      <c r="H266" s="34">
        <v>8177302.3099999996</v>
      </c>
      <c r="I266" s="32" t="s">
        <v>141</v>
      </c>
      <c r="J266" s="32" t="s">
        <v>31</v>
      </c>
    </row>
    <row r="267" spans="1:10" s="36" customFormat="1" ht="39" hidden="1" outlineLevel="3">
      <c r="A267" s="29" t="s">
        <v>306</v>
      </c>
      <c r="B267" s="29" t="str">
        <f>"06.523438-ТЭ"</f>
        <v>06.523438-ТЭ</v>
      </c>
      <c r="C267" s="29" t="s">
        <v>259</v>
      </c>
      <c r="D267" s="30" t="s">
        <v>31</v>
      </c>
      <c r="E267" s="37" t="s">
        <v>328</v>
      </c>
      <c r="F267" s="32" t="s">
        <v>70</v>
      </c>
      <c r="G267" s="33" t="s">
        <v>26</v>
      </c>
      <c r="H267" s="34">
        <v>11611466.01</v>
      </c>
      <c r="I267" s="32" t="s">
        <v>141</v>
      </c>
      <c r="J267" s="32" t="s">
        <v>31</v>
      </c>
    </row>
    <row r="268" spans="1:10" s="36" customFormat="1" ht="26.25" hidden="1" outlineLevel="3">
      <c r="A268" s="29" t="s">
        <v>306</v>
      </c>
      <c r="B268" s="29" t="str">
        <f>"06.523446-ТЭ"</f>
        <v>06.523446-ТЭ</v>
      </c>
      <c r="C268" s="29" t="s">
        <v>329</v>
      </c>
      <c r="D268" s="30"/>
      <c r="E268" s="31" t="s">
        <v>330</v>
      </c>
      <c r="F268" s="32" t="s">
        <v>17</v>
      </c>
      <c r="G268" s="33" t="s">
        <v>26</v>
      </c>
      <c r="H268" s="34">
        <v>2014502.29</v>
      </c>
      <c r="I268" s="32" t="s">
        <v>27</v>
      </c>
      <c r="J268" s="35">
        <v>42460</v>
      </c>
    </row>
    <row r="269" spans="1:10" s="36" customFormat="1" ht="26.25" hidden="1" outlineLevel="3">
      <c r="A269" s="29" t="s">
        <v>306</v>
      </c>
      <c r="B269" s="29" t="str">
        <f>"06.523451-ТЭ"</f>
        <v>06.523451-ТЭ</v>
      </c>
      <c r="C269" s="29" t="s">
        <v>331</v>
      </c>
      <c r="D269" s="30"/>
      <c r="E269" s="31" t="s">
        <v>332</v>
      </c>
      <c r="F269" s="32" t="s">
        <v>17</v>
      </c>
      <c r="G269" s="33" t="s">
        <v>26</v>
      </c>
      <c r="H269" s="34">
        <v>24380928.990000002</v>
      </c>
      <c r="I269" s="32" t="s">
        <v>28</v>
      </c>
      <c r="J269" s="35">
        <v>42460</v>
      </c>
    </row>
    <row r="270" spans="1:10" s="36" customFormat="1" hidden="1" outlineLevel="3">
      <c r="A270" s="29" t="s">
        <v>306</v>
      </c>
      <c r="B270" s="29" t="str">
        <f>"06.530222ГВС"</f>
        <v>06.530222ГВС</v>
      </c>
      <c r="C270" s="29" t="s">
        <v>24</v>
      </c>
      <c r="D270" s="30"/>
      <c r="E270" s="31" t="s">
        <v>333</v>
      </c>
      <c r="F270" s="32" t="s">
        <v>17</v>
      </c>
      <c r="G270" s="33" t="s">
        <v>193</v>
      </c>
      <c r="H270" s="34">
        <v>921.77999999999975</v>
      </c>
      <c r="I270" s="32" t="s">
        <v>31</v>
      </c>
      <c r="J270" s="35">
        <v>42460</v>
      </c>
    </row>
    <row r="271" spans="1:10" s="36" customFormat="1" ht="26.25" hidden="1" outlineLevel="3">
      <c r="A271" s="29" t="s">
        <v>306</v>
      </c>
      <c r="B271" s="29" t="str">
        <f>"06.530337-ТЭ"</f>
        <v>06.530337-ТЭ</v>
      </c>
      <c r="C271" s="29" t="s">
        <v>334</v>
      </c>
      <c r="D271" s="30"/>
      <c r="E271" s="31" t="s">
        <v>335</v>
      </c>
      <c r="F271" s="32" t="s">
        <v>17</v>
      </c>
      <c r="G271" s="33" t="s">
        <v>193</v>
      </c>
      <c r="H271" s="34">
        <v>53869043.909999996</v>
      </c>
      <c r="I271" s="32" t="s">
        <v>90</v>
      </c>
      <c r="J271" s="35">
        <v>42460</v>
      </c>
    </row>
    <row r="272" spans="1:10" s="36" customFormat="1" ht="26.25" hidden="1" outlineLevel="3">
      <c r="A272" s="29" t="s">
        <v>306</v>
      </c>
      <c r="B272" s="29" t="str">
        <f>"06.530337ГВС"</f>
        <v>06.530337ГВС</v>
      </c>
      <c r="C272" s="29" t="s">
        <v>334</v>
      </c>
      <c r="D272" s="30"/>
      <c r="E272" s="31" t="s">
        <v>335</v>
      </c>
      <c r="F272" s="32" t="s">
        <v>17</v>
      </c>
      <c r="G272" s="33" t="s">
        <v>193</v>
      </c>
      <c r="H272" s="34">
        <v>21690301.400000002</v>
      </c>
      <c r="I272" s="32" t="s">
        <v>48</v>
      </c>
      <c r="J272" s="35">
        <v>42460</v>
      </c>
    </row>
    <row r="273" spans="1:10" s="36" customFormat="1" ht="26.25" hidden="1" outlineLevel="3">
      <c r="A273" s="29" t="s">
        <v>306</v>
      </c>
      <c r="B273" s="29" t="str">
        <f>"06.530339-ТЭ"</f>
        <v>06.530339-ТЭ</v>
      </c>
      <c r="C273" s="29" t="s">
        <v>334</v>
      </c>
      <c r="D273" s="30" t="s">
        <v>336</v>
      </c>
      <c r="E273" s="37" t="s">
        <v>337</v>
      </c>
      <c r="F273" s="32" t="s">
        <v>70</v>
      </c>
      <c r="G273" s="33" t="s">
        <v>193</v>
      </c>
      <c r="H273" s="34">
        <v>4821838.57</v>
      </c>
      <c r="I273" s="32" t="s">
        <v>338</v>
      </c>
      <c r="J273" s="32" t="s">
        <v>67</v>
      </c>
    </row>
    <row r="274" spans="1:10" s="36" customFormat="1" ht="26.25" hidden="1" outlineLevel="3">
      <c r="A274" s="29" t="s">
        <v>306</v>
      </c>
      <c r="B274" s="29" t="str">
        <f>"06.530339ГВС"</f>
        <v>06.530339ГВС</v>
      </c>
      <c r="C274" s="29" t="s">
        <v>334</v>
      </c>
      <c r="D274" s="30" t="s">
        <v>336</v>
      </c>
      <c r="E274" s="37" t="s">
        <v>337</v>
      </c>
      <c r="F274" s="32" t="s">
        <v>70</v>
      </c>
      <c r="G274" s="33" t="s">
        <v>193</v>
      </c>
      <c r="H274" s="34">
        <v>1150639.29</v>
      </c>
      <c r="I274" s="32" t="s">
        <v>339</v>
      </c>
      <c r="J274" s="32" t="s">
        <v>336</v>
      </c>
    </row>
    <row r="275" spans="1:10" s="36" customFormat="1" ht="26.25" hidden="1" outlineLevel="3">
      <c r="A275" s="29" t="s">
        <v>306</v>
      </c>
      <c r="B275" s="29" t="str">
        <f>"06.530341ГВС"</f>
        <v>06.530341ГВС</v>
      </c>
      <c r="C275" s="29" t="s">
        <v>118</v>
      </c>
      <c r="D275" s="30" t="s">
        <v>67</v>
      </c>
      <c r="E275" s="37" t="s">
        <v>340</v>
      </c>
      <c r="F275" s="32" t="s">
        <v>70</v>
      </c>
      <c r="G275" s="33" t="s">
        <v>193</v>
      </c>
      <c r="H275" s="34">
        <v>324156.17</v>
      </c>
      <c r="I275" s="32" t="s">
        <v>339</v>
      </c>
      <c r="J275" s="32" t="s">
        <v>67</v>
      </c>
    </row>
    <row r="276" spans="1:10" s="36" customFormat="1" ht="26.25" hidden="1" outlineLevel="3">
      <c r="A276" s="29" t="s">
        <v>306</v>
      </c>
      <c r="B276" s="29" t="str">
        <f>"06.530411-ТЭ"</f>
        <v>06.530411-ТЭ</v>
      </c>
      <c r="C276" s="29" t="s">
        <v>341</v>
      </c>
      <c r="D276" s="30" t="s">
        <v>141</v>
      </c>
      <c r="E276" s="37" t="s">
        <v>342</v>
      </c>
      <c r="F276" s="32" t="s">
        <v>70</v>
      </c>
      <c r="G276" s="33" t="s">
        <v>18</v>
      </c>
      <c r="H276" s="34">
        <v>1018425.81</v>
      </c>
      <c r="I276" s="32" t="s">
        <v>33</v>
      </c>
      <c r="J276" s="32" t="s">
        <v>141</v>
      </c>
    </row>
    <row r="277" spans="1:10" s="36" customFormat="1" ht="26.25" hidden="1" outlineLevel="3">
      <c r="A277" s="29" t="s">
        <v>306</v>
      </c>
      <c r="B277" s="29" t="str">
        <f>"06.530411ГВС"</f>
        <v>06.530411ГВС</v>
      </c>
      <c r="C277" s="29" t="s">
        <v>341</v>
      </c>
      <c r="D277" s="30" t="s">
        <v>141</v>
      </c>
      <c r="E277" s="37" t="s">
        <v>342</v>
      </c>
      <c r="F277" s="32" t="s">
        <v>70</v>
      </c>
      <c r="G277" s="33" t="s">
        <v>18</v>
      </c>
      <c r="H277" s="34">
        <v>158036.62</v>
      </c>
      <c r="I277" s="32" t="s">
        <v>141</v>
      </c>
      <c r="J277" s="32" t="s">
        <v>141</v>
      </c>
    </row>
    <row r="278" spans="1:10" s="36" customFormat="1" ht="26.25" outlineLevel="3">
      <c r="A278" s="29" t="s">
        <v>306</v>
      </c>
      <c r="B278" s="29" t="str">
        <f>"06.530445-ТЭ"</f>
        <v>06.530445-ТЭ</v>
      </c>
      <c r="C278" s="29" t="s">
        <v>343</v>
      </c>
      <c r="D278" s="30"/>
      <c r="E278" s="31" t="s">
        <v>344</v>
      </c>
      <c r="F278" s="32" t="s">
        <v>17</v>
      </c>
      <c r="G278" s="33" t="s">
        <v>18</v>
      </c>
      <c r="H278" s="34">
        <v>185457.91</v>
      </c>
      <c r="I278" s="32" t="s">
        <v>19</v>
      </c>
      <c r="J278" s="35">
        <v>42460</v>
      </c>
    </row>
    <row r="279" spans="1:10" s="36" customFormat="1" ht="26.25" outlineLevel="3">
      <c r="A279" s="29" t="s">
        <v>306</v>
      </c>
      <c r="B279" s="29" t="str">
        <f>"06.530445ГВС"</f>
        <v>06.530445ГВС</v>
      </c>
      <c r="C279" s="29" t="s">
        <v>343</v>
      </c>
      <c r="D279" s="30"/>
      <c r="E279" s="31" t="s">
        <v>344</v>
      </c>
      <c r="F279" s="32" t="s">
        <v>17</v>
      </c>
      <c r="G279" s="33" t="s">
        <v>18</v>
      </c>
      <c r="H279" s="34">
        <v>249980.36999999997</v>
      </c>
      <c r="I279" s="32" t="s">
        <v>48</v>
      </c>
      <c r="J279" s="35">
        <v>42460</v>
      </c>
    </row>
  </sheetData>
  <mergeCells count="12">
    <mergeCell ref="I6:I7"/>
    <mergeCell ref="J6:J7"/>
    <mergeCell ref="B3:H3"/>
    <mergeCell ref="A5:A7"/>
    <mergeCell ref="B5:B7"/>
    <mergeCell ref="C5:C7"/>
    <mergeCell ref="D5:D7"/>
    <mergeCell ref="E5:E7"/>
    <mergeCell ref="F5:F7"/>
    <mergeCell ref="G5:G7"/>
    <mergeCell ref="H5:J5"/>
    <mergeCell ref="H6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J315"/>
  <sheetViews>
    <sheetView tabSelected="1" topLeftCell="A4" workbookViewId="0">
      <selection activeCell="A280" sqref="A280:XFD315"/>
    </sheetView>
  </sheetViews>
  <sheetFormatPr defaultRowHeight="15"/>
  <cols>
    <col min="4" max="4" width="18.7109375" customWidth="1"/>
    <col min="5" max="5" width="33" customWidth="1"/>
    <col min="8" max="8" width="18" customWidth="1"/>
    <col min="10" max="10" width="25.140625" customWidth="1"/>
  </cols>
  <sheetData>
    <row r="1" spans="1:10" ht="15.75">
      <c r="A1" s="1"/>
      <c r="B1" s="2"/>
      <c r="C1" s="2"/>
      <c r="D1" s="2"/>
      <c r="E1" s="3"/>
      <c r="F1" s="4"/>
      <c r="G1" s="5"/>
      <c r="H1" s="6"/>
      <c r="I1" s="7"/>
      <c r="J1" s="7"/>
    </row>
    <row r="2" spans="1:10" ht="15.75">
      <c r="A2" s="7"/>
      <c r="B2" s="8" t="s">
        <v>0</v>
      </c>
      <c r="C2" s="9"/>
      <c r="D2" s="9"/>
      <c r="E2" s="3"/>
      <c r="F2" s="10"/>
      <c r="G2" s="11"/>
      <c r="H2" s="12"/>
      <c r="I2" s="13"/>
      <c r="J2" s="13"/>
    </row>
    <row r="3" spans="1:10" ht="15.75">
      <c r="B3" s="39"/>
      <c r="C3" s="39"/>
      <c r="D3" s="39"/>
      <c r="E3" s="40"/>
      <c r="F3" s="39"/>
      <c r="G3" s="39"/>
      <c r="H3" s="41"/>
      <c r="I3" s="14"/>
      <c r="J3" s="7"/>
    </row>
    <row r="4" spans="1:10">
      <c r="E4" s="15"/>
      <c r="G4" s="16"/>
      <c r="H4" s="17"/>
    </row>
    <row r="5" spans="1:10">
      <c r="A5" s="42" t="s">
        <v>1</v>
      </c>
      <c r="B5" s="42" t="s">
        <v>2</v>
      </c>
      <c r="C5" s="38" t="s">
        <v>3</v>
      </c>
      <c r="D5" s="43" t="s">
        <v>4</v>
      </c>
      <c r="E5" s="46" t="s">
        <v>5</v>
      </c>
      <c r="F5" s="38" t="s">
        <v>6</v>
      </c>
      <c r="G5" s="43" t="s">
        <v>7</v>
      </c>
      <c r="H5" s="47" t="s">
        <v>8</v>
      </c>
      <c r="I5" s="48"/>
      <c r="J5" s="49"/>
    </row>
    <row r="6" spans="1:10">
      <c r="A6" s="42"/>
      <c r="B6" s="42"/>
      <c r="C6" s="38"/>
      <c r="D6" s="44"/>
      <c r="E6" s="46"/>
      <c r="F6" s="38"/>
      <c r="G6" s="44"/>
      <c r="H6" s="50" t="s">
        <v>9</v>
      </c>
      <c r="I6" s="38" t="s">
        <v>10</v>
      </c>
      <c r="J6" s="38" t="s">
        <v>11</v>
      </c>
    </row>
    <row r="7" spans="1:10" ht="46.5" customHeight="1">
      <c r="A7" s="42"/>
      <c r="B7" s="42"/>
      <c r="C7" s="38"/>
      <c r="D7" s="45"/>
      <c r="E7" s="46"/>
      <c r="F7" s="38"/>
      <c r="G7" s="45"/>
      <c r="H7" s="50"/>
      <c r="I7" s="38"/>
      <c r="J7" s="38"/>
    </row>
    <row r="8" spans="1:10" hidden="1">
      <c r="A8" s="19">
        <v>1</v>
      </c>
      <c r="B8" s="20">
        <v>2</v>
      </c>
      <c r="C8" s="20">
        <v>3</v>
      </c>
      <c r="D8" s="20">
        <v>4</v>
      </c>
      <c r="E8" s="21">
        <v>5</v>
      </c>
      <c r="F8" s="20">
        <v>6</v>
      </c>
      <c r="G8" s="20">
        <v>7</v>
      </c>
      <c r="H8" s="22"/>
      <c r="I8" s="20">
        <v>11</v>
      </c>
      <c r="J8" s="20">
        <v>12</v>
      </c>
    </row>
    <row r="9" spans="1:10" hidden="1">
      <c r="A9" s="23" t="s">
        <v>12</v>
      </c>
      <c r="B9" s="23"/>
      <c r="C9" s="23"/>
      <c r="D9" s="24"/>
      <c r="E9" s="25"/>
      <c r="F9" s="26"/>
      <c r="G9" s="27"/>
      <c r="H9" s="28"/>
      <c r="I9" s="26"/>
      <c r="J9" s="26"/>
    </row>
    <row r="10" spans="1:10" hidden="1">
      <c r="A10" s="23" t="s">
        <v>13</v>
      </c>
      <c r="B10" s="23"/>
      <c r="C10" s="23"/>
      <c r="D10" s="24"/>
      <c r="E10" s="25"/>
      <c r="F10" s="26"/>
      <c r="G10" s="27"/>
      <c r="H10" s="28">
        <v>598617497.99000001</v>
      </c>
      <c r="I10" s="26"/>
      <c r="J10" s="26"/>
    </row>
    <row r="11" spans="1:10" ht="39">
      <c r="A11" s="51" t="s">
        <v>14</v>
      </c>
      <c r="B11" s="51" t="str">
        <f>"06.300006-ТЭ"</f>
        <v>06.300006-ТЭ</v>
      </c>
      <c r="C11" s="51" t="s">
        <v>15</v>
      </c>
      <c r="D11" s="52"/>
      <c r="E11" s="53" t="s">
        <v>16</v>
      </c>
      <c r="F11" s="54" t="s">
        <v>17</v>
      </c>
      <c r="G11" s="55" t="s">
        <v>18</v>
      </c>
      <c r="H11" s="56">
        <v>2066227.64</v>
      </c>
      <c r="I11" s="54" t="s">
        <v>19</v>
      </c>
      <c r="J11" s="57">
        <v>42460</v>
      </c>
    </row>
    <row r="12" spans="1:10" ht="39" hidden="1">
      <c r="A12" s="51" t="s">
        <v>14</v>
      </c>
      <c r="B12" s="51" t="str">
        <f>"06.300029-ТЭ"</f>
        <v>06.300029-ТЭ</v>
      </c>
      <c r="C12" s="51" t="s">
        <v>20</v>
      </c>
      <c r="D12" s="52"/>
      <c r="E12" s="53" t="s">
        <v>21</v>
      </c>
      <c r="F12" s="54" t="s">
        <v>17</v>
      </c>
      <c r="G12" s="55" t="s">
        <v>22</v>
      </c>
      <c r="H12" s="56">
        <v>403157.35000000003</v>
      </c>
      <c r="I12" s="54" t="s">
        <v>23</v>
      </c>
      <c r="J12" s="57">
        <v>42460</v>
      </c>
    </row>
    <row r="13" spans="1:10" ht="51.75" hidden="1">
      <c r="A13" s="51" t="s">
        <v>14</v>
      </c>
      <c r="B13" s="51" t="str">
        <f>"06.501001-ТЭ"</f>
        <v>06.501001-ТЭ</v>
      </c>
      <c r="C13" s="51" t="s">
        <v>24</v>
      </c>
      <c r="D13" s="52"/>
      <c r="E13" s="53" t="s">
        <v>25</v>
      </c>
      <c r="F13" s="54" t="s">
        <v>17</v>
      </c>
      <c r="G13" s="55" t="s">
        <v>26</v>
      </c>
      <c r="H13" s="56">
        <v>1980841.75</v>
      </c>
      <c r="I13" s="54" t="s">
        <v>27</v>
      </c>
      <c r="J13" s="57">
        <v>42460</v>
      </c>
    </row>
    <row r="14" spans="1:10" ht="51.75" hidden="1">
      <c r="A14" s="51" t="s">
        <v>14</v>
      </c>
      <c r="B14" s="51" t="str">
        <f>"06.501001ГВС"</f>
        <v>06.501001ГВС</v>
      </c>
      <c r="C14" s="51" t="s">
        <v>24</v>
      </c>
      <c r="D14" s="52"/>
      <c r="E14" s="53" t="s">
        <v>25</v>
      </c>
      <c r="F14" s="54" t="s">
        <v>17</v>
      </c>
      <c r="G14" s="55" t="s">
        <v>26</v>
      </c>
      <c r="H14" s="56">
        <v>821246.47</v>
      </c>
      <c r="I14" s="54" t="s">
        <v>28</v>
      </c>
      <c r="J14" s="57">
        <v>42460</v>
      </c>
    </row>
    <row r="15" spans="1:10" ht="51.75" hidden="1">
      <c r="A15" s="51" t="s">
        <v>14</v>
      </c>
      <c r="B15" s="51" t="str">
        <f>"06.501002-ТЭ"</f>
        <v>06.501002-ТЭ</v>
      </c>
      <c r="C15" s="51" t="s">
        <v>29</v>
      </c>
      <c r="D15" s="52"/>
      <c r="E15" s="53" t="s">
        <v>30</v>
      </c>
      <c r="F15" s="54" t="s">
        <v>17</v>
      </c>
      <c r="G15" s="55" t="s">
        <v>26</v>
      </c>
      <c r="H15" s="56">
        <v>3400878.42</v>
      </c>
      <c r="I15" s="54" t="s">
        <v>31</v>
      </c>
      <c r="J15" s="57">
        <v>42460</v>
      </c>
    </row>
    <row r="16" spans="1:10" ht="51.75" hidden="1">
      <c r="A16" s="51" t="s">
        <v>14</v>
      </c>
      <c r="B16" s="51" t="str">
        <f>"06.501002ГВС"</f>
        <v>06.501002ГВС</v>
      </c>
      <c r="C16" s="51" t="s">
        <v>29</v>
      </c>
      <c r="D16" s="52"/>
      <c r="E16" s="53" t="s">
        <v>30</v>
      </c>
      <c r="F16" s="54" t="s">
        <v>17</v>
      </c>
      <c r="G16" s="55" t="s">
        <v>26</v>
      </c>
      <c r="H16" s="56">
        <v>1144953.05</v>
      </c>
      <c r="I16" s="54" t="s">
        <v>31</v>
      </c>
      <c r="J16" s="57">
        <v>42460</v>
      </c>
    </row>
    <row r="17" spans="1:10" ht="51.75" hidden="1">
      <c r="A17" s="51" t="s">
        <v>14</v>
      </c>
      <c r="B17" s="51" t="str">
        <f>"06.501003-ТЭ"</f>
        <v>06.501003-ТЭ</v>
      </c>
      <c r="C17" s="51" t="s">
        <v>24</v>
      </c>
      <c r="D17" s="52"/>
      <c r="E17" s="53" t="s">
        <v>32</v>
      </c>
      <c r="F17" s="54" t="s">
        <v>17</v>
      </c>
      <c r="G17" s="55" t="s">
        <v>26</v>
      </c>
      <c r="H17" s="56">
        <v>6123781.4100000001</v>
      </c>
      <c r="I17" s="54" t="s">
        <v>33</v>
      </c>
      <c r="J17" s="57">
        <v>42460</v>
      </c>
    </row>
    <row r="18" spans="1:10" ht="51.75" hidden="1">
      <c r="A18" s="51" t="s">
        <v>14</v>
      </c>
      <c r="B18" s="51" t="str">
        <f>"06.501003ГВС"</f>
        <v>06.501003ГВС</v>
      </c>
      <c r="C18" s="51" t="s">
        <v>24</v>
      </c>
      <c r="D18" s="52"/>
      <c r="E18" s="53" t="s">
        <v>32</v>
      </c>
      <c r="F18" s="54" t="s">
        <v>17</v>
      </c>
      <c r="G18" s="55" t="s">
        <v>26</v>
      </c>
      <c r="H18" s="56">
        <v>50000</v>
      </c>
      <c r="I18" s="54" t="s">
        <v>23</v>
      </c>
      <c r="J18" s="57">
        <v>42460</v>
      </c>
    </row>
    <row r="19" spans="1:10" ht="51.75" hidden="1">
      <c r="A19" s="51" t="s">
        <v>14</v>
      </c>
      <c r="B19" s="51" t="str">
        <f>"06.501058-ТЭ"</f>
        <v>06.501058-ТЭ</v>
      </c>
      <c r="C19" s="51" t="s">
        <v>24</v>
      </c>
      <c r="D19" s="52"/>
      <c r="E19" s="53" t="s">
        <v>34</v>
      </c>
      <c r="F19" s="54" t="s">
        <v>17</v>
      </c>
      <c r="G19" s="55" t="s">
        <v>35</v>
      </c>
      <c r="H19" s="56">
        <v>381328.30000000005</v>
      </c>
      <c r="I19" s="54" t="s">
        <v>23</v>
      </c>
      <c r="J19" s="57">
        <v>42460</v>
      </c>
    </row>
    <row r="20" spans="1:10" ht="51.75" hidden="1">
      <c r="A20" s="51" t="s">
        <v>14</v>
      </c>
      <c r="B20" s="51" t="str">
        <f>"06.501058ГВС"</f>
        <v>06.501058ГВС</v>
      </c>
      <c r="C20" s="51" t="s">
        <v>24</v>
      </c>
      <c r="D20" s="52"/>
      <c r="E20" s="53" t="s">
        <v>34</v>
      </c>
      <c r="F20" s="54" t="s">
        <v>17</v>
      </c>
      <c r="G20" s="55" t="s">
        <v>35</v>
      </c>
      <c r="H20" s="56">
        <v>345784.93000000005</v>
      </c>
      <c r="I20" s="54" t="s">
        <v>28</v>
      </c>
      <c r="J20" s="57">
        <v>42460</v>
      </c>
    </row>
    <row r="21" spans="1:10" ht="64.5" hidden="1">
      <c r="A21" s="51" t="s">
        <v>14</v>
      </c>
      <c r="B21" s="51" t="str">
        <f>"06.510001-ТЭ"</f>
        <v>06.510001-ТЭ</v>
      </c>
      <c r="C21" s="51" t="s">
        <v>24</v>
      </c>
      <c r="D21" s="52"/>
      <c r="E21" s="53" t="s">
        <v>36</v>
      </c>
      <c r="F21" s="54" t="s">
        <v>17</v>
      </c>
      <c r="G21" s="55" t="s">
        <v>37</v>
      </c>
      <c r="H21" s="56">
        <v>554930.48999999987</v>
      </c>
      <c r="I21" s="54" t="s">
        <v>31</v>
      </c>
      <c r="J21" s="57">
        <v>42460</v>
      </c>
    </row>
    <row r="22" spans="1:10" ht="51.75" hidden="1">
      <c r="A22" s="51" t="s">
        <v>14</v>
      </c>
      <c r="B22" s="51" t="str">
        <f>"06.510006ГВС"</f>
        <v>06.510006ГВС</v>
      </c>
      <c r="C22" s="51" t="s">
        <v>38</v>
      </c>
      <c r="D22" s="52"/>
      <c r="E22" s="53" t="s">
        <v>39</v>
      </c>
      <c r="F22" s="54" t="s">
        <v>17</v>
      </c>
      <c r="G22" s="55" t="s">
        <v>40</v>
      </c>
      <c r="H22" s="56">
        <v>114536.08000000002</v>
      </c>
      <c r="I22" s="54" t="s">
        <v>28</v>
      </c>
      <c r="J22" s="57">
        <v>42460</v>
      </c>
    </row>
    <row r="23" spans="1:10" ht="64.5" hidden="1">
      <c r="A23" s="51" t="s">
        <v>14</v>
      </c>
      <c r="B23" s="51" t="str">
        <f>"06.510042-ТЭ"</f>
        <v>06.510042-ТЭ</v>
      </c>
      <c r="C23" s="51" t="s">
        <v>41</v>
      </c>
      <c r="D23" s="52"/>
      <c r="E23" s="53" t="s">
        <v>42</v>
      </c>
      <c r="F23" s="54" t="s">
        <v>17</v>
      </c>
      <c r="G23" s="55" t="s">
        <v>37</v>
      </c>
      <c r="H23" s="56">
        <v>236552.97999999998</v>
      </c>
      <c r="I23" s="54" t="s">
        <v>27</v>
      </c>
      <c r="J23" s="57">
        <v>42460</v>
      </c>
    </row>
    <row r="24" spans="1:10" ht="39" hidden="1">
      <c r="A24" s="51" t="s">
        <v>14</v>
      </c>
      <c r="B24" s="51" t="str">
        <f>"06.510043-ТЭ"</f>
        <v>06.510043-ТЭ</v>
      </c>
      <c r="C24" s="51" t="s">
        <v>43</v>
      </c>
      <c r="D24" s="52"/>
      <c r="E24" s="53" t="s">
        <v>44</v>
      </c>
      <c r="F24" s="54" t="s">
        <v>17</v>
      </c>
      <c r="G24" s="55" t="s">
        <v>45</v>
      </c>
      <c r="H24" s="56">
        <v>232414.34000000003</v>
      </c>
      <c r="I24" s="54" t="s">
        <v>23</v>
      </c>
      <c r="J24" s="57">
        <v>42460</v>
      </c>
    </row>
    <row r="25" spans="1:10" ht="64.5" hidden="1">
      <c r="A25" s="51" t="s">
        <v>14</v>
      </c>
      <c r="B25" s="51" t="str">
        <f>"06.510045-ТЭ"</f>
        <v>06.510045-ТЭ</v>
      </c>
      <c r="C25" s="51" t="s">
        <v>46</v>
      </c>
      <c r="D25" s="52"/>
      <c r="E25" s="53" t="s">
        <v>47</v>
      </c>
      <c r="F25" s="54" t="s">
        <v>17</v>
      </c>
      <c r="G25" s="55" t="s">
        <v>37</v>
      </c>
      <c r="H25" s="56">
        <v>2261631.2299999995</v>
      </c>
      <c r="I25" s="54" t="s">
        <v>48</v>
      </c>
      <c r="J25" s="57">
        <v>42460</v>
      </c>
    </row>
    <row r="26" spans="1:10" ht="64.5" hidden="1">
      <c r="A26" s="51" t="s">
        <v>14</v>
      </c>
      <c r="B26" s="51" t="str">
        <f>"06.510047-ТЭ"</f>
        <v>06.510047-ТЭ</v>
      </c>
      <c r="C26" s="51" t="s">
        <v>24</v>
      </c>
      <c r="D26" s="52"/>
      <c r="E26" s="53" t="s">
        <v>49</v>
      </c>
      <c r="F26" s="54" t="s">
        <v>17</v>
      </c>
      <c r="G26" s="55" t="s">
        <v>37</v>
      </c>
      <c r="H26" s="56">
        <v>1707359.21</v>
      </c>
      <c r="I26" s="54" t="s">
        <v>27</v>
      </c>
      <c r="J26" s="57">
        <v>42460</v>
      </c>
    </row>
    <row r="27" spans="1:10" ht="64.5" hidden="1">
      <c r="A27" s="51" t="s">
        <v>14</v>
      </c>
      <c r="B27" s="51" t="str">
        <f>"06.510048-ТЭ"</f>
        <v>06.510048-ТЭ</v>
      </c>
      <c r="C27" s="51" t="s">
        <v>46</v>
      </c>
      <c r="D27" s="52"/>
      <c r="E27" s="53" t="s">
        <v>50</v>
      </c>
      <c r="F27" s="54" t="s">
        <v>17</v>
      </c>
      <c r="G27" s="55" t="s">
        <v>37</v>
      </c>
      <c r="H27" s="56">
        <v>348347.82999999996</v>
      </c>
      <c r="I27" s="54" t="s">
        <v>19</v>
      </c>
      <c r="J27" s="57">
        <v>42460</v>
      </c>
    </row>
    <row r="28" spans="1:10" ht="64.5" hidden="1">
      <c r="A28" s="51" t="s">
        <v>14</v>
      </c>
      <c r="B28" s="51" t="str">
        <f>"06.510050-ТЭ"</f>
        <v>06.510050-ТЭ</v>
      </c>
      <c r="C28" s="51" t="s">
        <v>51</v>
      </c>
      <c r="D28" s="52"/>
      <c r="E28" s="53" t="s">
        <v>52</v>
      </c>
      <c r="F28" s="54" t="s">
        <v>17</v>
      </c>
      <c r="G28" s="55" t="s">
        <v>37</v>
      </c>
      <c r="H28" s="56">
        <v>853267.04</v>
      </c>
      <c r="I28" s="54" t="s">
        <v>27</v>
      </c>
      <c r="J28" s="57">
        <v>42460</v>
      </c>
    </row>
    <row r="29" spans="1:10" ht="64.5" hidden="1">
      <c r="A29" s="51" t="s">
        <v>14</v>
      </c>
      <c r="B29" s="51" t="str">
        <f>"06.510051-ТЭ"</f>
        <v>06.510051-ТЭ</v>
      </c>
      <c r="C29" s="51" t="s">
        <v>41</v>
      </c>
      <c r="D29" s="52"/>
      <c r="E29" s="53" t="s">
        <v>53</v>
      </c>
      <c r="F29" s="54" t="s">
        <v>17</v>
      </c>
      <c r="G29" s="55" t="s">
        <v>37</v>
      </c>
      <c r="H29" s="56">
        <v>708297.58</v>
      </c>
      <c r="I29" s="54" t="s">
        <v>28</v>
      </c>
      <c r="J29" s="57">
        <v>42460</v>
      </c>
    </row>
    <row r="30" spans="1:10" ht="39" hidden="1">
      <c r="A30" s="51" t="s">
        <v>14</v>
      </c>
      <c r="B30" s="51" t="str">
        <f>"06.510057-ТЭ"</f>
        <v>06.510057-ТЭ</v>
      </c>
      <c r="C30" s="51" t="s">
        <v>54</v>
      </c>
      <c r="D30" s="52"/>
      <c r="E30" s="53" t="s">
        <v>55</v>
      </c>
      <c r="F30" s="54" t="s">
        <v>17</v>
      </c>
      <c r="G30" s="55" t="s">
        <v>45</v>
      </c>
      <c r="H30" s="56">
        <v>1490540.34</v>
      </c>
      <c r="I30" s="54" t="s">
        <v>56</v>
      </c>
      <c r="J30" s="57">
        <v>42460</v>
      </c>
    </row>
    <row r="31" spans="1:10" ht="39" hidden="1">
      <c r="A31" s="51" t="s">
        <v>14</v>
      </c>
      <c r="B31" s="51" t="str">
        <f>"06.510057ГВС"</f>
        <v>06.510057ГВС</v>
      </c>
      <c r="C31" s="51" t="s">
        <v>54</v>
      </c>
      <c r="D31" s="52"/>
      <c r="E31" s="53" t="s">
        <v>55</v>
      </c>
      <c r="F31" s="54" t="s">
        <v>17</v>
      </c>
      <c r="G31" s="55" t="s">
        <v>45</v>
      </c>
      <c r="H31" s="56">
        <v>423464.69999999995</v>
      </c>
      <c r="I31" s="54" t="s">
        <v>23</v>
      </c>
      <c r="J31" s="57">
        <v>42460</v>
      </c>
    </row>
    <row r="32" spans="1:10" ht="39" hidden="1">
      <c r="A32" s="51" t="s">
        <v>14</v>
      </c>
      <c r="B32" s="51" t="str">
        <f>"06.510059-ТЭ"</f>
        <v>06.510059-ТЭ</v>
      </c>
      <c r="C32" s="51" t="s">
        <v>24</v>
      </c>
      <c r="D32" s="52"/>
      <c r="E32" s="53" t="s">
        <v>57</v>
      </c>
      <c r="F32" s="54" t="s">
        <v>17</v>
      </c>
      <c r="G32" s="55" t="s">
        <v>45</v>
      </c>
      <c r="H32" s="56">
        <v>1439715.7399999998</v>
      </c>
      <c r="I32" s="54" t="s">
        <v>48</v>
      </c>
      <c r="J32" s="57">
        <v>42460</v>
      </c>
    </row>
    <row r="33" spans="1:10" ht="39" hidden="1">
      <c r="A33" s="51" t="s">
        <v>14</v>
      </c>
      <c r="B33" s="51" t="str">
        <f>"06.510059ГВС"</f>
        <v>06.510059ГВС</v>
      </c>
      <c r="C33" s="51" t="s">
        <v>24</v>
      </c>
      <c r="D33" s="52"/>
      <c r="E33" s="53" t="s">
        <v>57</v>
      </c>
      <c r="F33" s="54" t="s">
        <v>17</v>
      </c>
      <c r="G33" s="55" t="s">
        <v>45</v>
      </c>
      <c r="H33" s="56">
        <v>267740</v>
      </c>
      <c r="I33" s="54" t="s">
        <v>27</v>
      </c>
      <c r="J33" s="54" t="s">
        <v>19</v>
      </c>
    </row>
    <row r="34" spans="1:10" ht="39" hidden="1">
      <c r="A34" s="51" t="s">
        <v>14</v>
      </c>
      <c r="B34" s="51" t="str">
        <f>"06.510061-ТЭ"</f>
        <v>06.510061-ТЭ</v>
      </c>
      <c r="C34" s="51" t="s">
        <v>58</v>
      </c>
      <c r="D34" s="52"/>
      <c r="E34" s="53" t="s">
        <v>59</v>
      </c>
      <c r="F34" s="54" t="s">
        <v>17</v>
      </c>
      <c r="G34" s="55" t="s">
        <v>45</v>
      </c>
      <c r="H34" s="56">
        <v>0.44000000000232831</v>
      </c>
      <c r="I34" s="54" t="s">
        <v>31</v>
      </c>
      <c r="J34" s="57">
        <v>42460</v>
      </c>
    </row>
    <row r="35" spans="1:10" ht="64.5" hidden="1">
      <c r="A35" s="51" t="s">
        <v>14</v>
      </c>
      <c r="B35" s="51" t="str">
        <f>"06.510239-ТЭ"</f>
        <v>06.510239-ТЭ</v>
      </c>
      <c r="C35" s="51" t="s">
        <v>60</v>
      </c>
      <c r="D35" s="52"/>
      <c r="E35" s="53" t="s">
        <v>61</v>
      </c>
      <c r="F35" s="54" t="s">
        <v>17</v>
      </c>
      <c r="G35" s="55" t="s">
        <v>37</v>
      </c>
      <c r="H35" s="56">
        <v>254010.14999999997</v>
      </c>
      <c r="I35" s="54" t="s">
        <v>23</v>
      </c>
      <c r="J35" s="57">
        <v>42460</v>
      </c>
    </row>
    <row r="36" spans="1:10" ht="51.75" hidden="1">
      <c r="A36" s="51" t="s">
        <v>14</v>
      </c>
      <c r="B36" s="51" t="str">
        <f>"06.510274-ТЭ"</f>
        <v>06.510274-ТЭ</v>
      </c>
      <c r="C36" s="51" t="s">
        <v>62</v>
      </c>
      <c r="D36" s="52"/>
      <c r="E36" s="53" t="s">
        <v>63</v>
      </c>
      <c r="F36" s="54" t="s">
        <v>17</v>
      </c>
      <c r="G36" s="55" t="s">
        <v>40</v>
      </c>
      <c r="H36" s="56">
        <v>1099762.1399999999</v>
      </c>
      <c r="I36" s="54" t="s">
        <v>28</v>
      </c>
      <c r="J36" s="57">
        <v>42460</v>
      </c>
    </row>
    <row r="37" spans="1:10" ht="51.75" hidden="1">
      <c r="A37" s="51" t="s">
        <v>14</v>
      </c>
      <c r="B37" s="51" t="str">
        <f>"06.510274ГВС"</f>
        <v>06.510274ГВС</v>
      </c>
      <c r="C37" s="51" t="s">
        <v>62</v>
      </c>
      <c r="D37" s="52"/>
      <c r="E37" s="53" t="s">
        <v>63</v>
      </c>
      <c r="F37" s="54" t="s">
        <v>17</v>
      </c>
      <c r="G37" s="55" t="s">
        <v>40</v>
      </c>
      <c r="H37" s="56">
        <v>1760151.56</v>
      </c>
      <c r="I37" s="54" t="s">
        <v>56</v>
      </c>
      <c r="J37" s="57">
        <v>42460</v>
      </c>
    </row>
    <row r="38" spans="1:10" ht="51.75" hidden="1">
      <c r="A38" s="51" t="s">
        <v>14</v>
      </c>
      <c r="B38" s="51" t="str">
        <f>"06.510276-ТЭ"</f>
        <v>06.510276-ТЭ</v>
      </c>
      <c r="C38" s="51" t="s">
        <v>62</v>
      </c>
      <c r="D38" s="52"/>
      <c r="E38" s="53" t="s">
        <v>64</v>
      </c>
      <c r="F38" s="54" t="s">
        <v>17</v>
      </c>
      <c r="G38" s="55" t="s">
        <v>40</v>
      </c>
      <c r="H38" s="56">
        <v>763861.4</v>
      </c>
      <c r="I38" s="54" t="s">
        <v>31</v>
      </c>
      <c r="J38" s="57">
        <v>42460</v>
      </c>
    </row>
    <row r="39" spans="1:10" ht="51.75" hidden="1">
      <c r="A39" s="51" t="s">
        <v>14</v>
      </c>
      <c r="B39" s="51" t="str">
        <f>"06.510276ГВС"</f>
        <v>06.510276ГВС</v>
      </c>
      <c r="C39" s="51" t="s">
        <v>62</v>
      </c>
      <c r="D39" s="52"/>
      <c r="E39" s="53" t="s">
        <v>64</v>
      </c>
      <c r="F39" s="54" t="s">
        <v>17</v>
      </c>
      <c r="G39" s="55" t="s">
        <v>40</v>
      </c>
      <c r="H39" s="56">
        <v>719665.34</v>
      </c>
      <c r="I39" s="54" t="s">
        <v>65</v>
      </c>
      <c r="J39" s="57">
        <v>42460</v>
      </c>
    </row>
    <row r="40" spans="1:10" ht="51.75" hidden="1">
      <c r="A40" s="51" t="s">
        <v>14</v>
      </c>
      <c r="B40" s="51" t="str">
        <f>"06.510277-ТЭ"</f>
        <v>06.510277-ТЭ</v>
      </c>
      <c r="C40" s="51" t="s">
        <v>62</v>
      </c>
      <c r="D40" s="52"/>
      <c r="E40" s="53" t="s">
        <v>66</v>
      </c>
      <c r="F40" s="54" t="s">
        <v>17</v>
      </c>
      <c r="G40" s="55" t="s">
        <v>40</v>
      </c>
      <c r="H40" s="56">
        <v>961051.75</v>
      </c>
      <c r="I40" s="54" t="s">
        <v>19</v>
      </c>
      <c r="J40" s="57">
        <v>42460</v>
      </c>
    </row>
    <row r="41" spans="1:10" ht="51.75" hidden="1">
      <c r="A41" s="51" t="s">
        <v>14</v>
      </c>
      <c r="B41" s="51" t="str">
        <f>"06.510277ГВС"</f>
        <v>06.510277ГВС</v>
      </c>
      <c r="C41" s="51" t="s">
        <v>62</v>
      </c>
      <c r="D41" s="52"/>
      <c r="E41" s="53" t="s">
        <v>66</v>
      </c>
      <c r="F41" s="54" t="s">
        <v>17</v>
      </c>
      <c r="G41" s="55" t="s">
        <v>40</v>
      </c>
      <c r="H41" s="56">
        <v>1059922.3</v>
      </c>
      <c r="I41" s="54" t="s">
        <v>67</v>
      </c>
      <c r="J41" s="57">
        <v>42460</v>
      </c>
    </row>
    <row r="42" spans="1:10" ht="51.75" hidden="1">
      <c r="A42" s="51" t="s">
        <v>14</v>
      </c>
      <c r="B42" s="51" t="str">
        <f>"06.510279-ТЭ"</f>
        <v>06.510279-ТЭ</v>
      </c>
      <c r="C42" s="51" t="s">
        <v>62</v>
      </c>
      <c r="D42" s="52" t="s">
        <v>68</v>
      </c>
      <c r="E42" s="58" t="s">
        <v>69</v>
      </c>
      <c r="F42" s="54" t="s">
        <v>70</v>
      </c>
      <c r="G42" s="55" t="s">
        <v>40</v>
      </c>
      <c r="H42" s="56">
        <v>1216141.05</v>
      </c>
      <c r="I42" s="54" t="s">
        <v>33</v>
      </c>
      <c r="J42" s="54" t="s">
        <v>48</v>
      </c>
    </row>
    <row r="43" spans="1:10" ht="51.75" hidden="1">
      <c r="A43" s="51" t="s">
        <v>14</v>
      </c>
      <c r="B43" s="51" t="str">
        <f>"06.510279ГВС"</f>
        <v>06.510279ГВС</v>
      </c>
      <c r="C43" s="51" t="s">
        <v>62</v>
      </c>
      <c r="D43" s="52" t="s">
        <v>68</v>
      </c>
      <c r="E43" s="58" t="s">
        <v>69</v>
      </c>
      <c r="F43" s="54" t="s">
        <v>70</v>
      </c>
      <c r="G43" s="55" t="s">
        <v>40</v>
      </c>
      <c r="H43" s="56">
        <v>1195470.6299999999</v>
      </c>
      <c r="I43" s="54" t="s">
        <v>71</v>
      </c>
      <c r="J43" s="54" t="s">
        <v>68</v>
      </c>
    </row>
    <row r="44" spans="1:10" ht="51.75" hidden="1">
      <c r="A44" s="51" t="s">
        <v>14</v>
      </c>
      <c r="B44" s="51" t="str">
        <f>"06.510280-ТЭ"</f>
        <v>06.510280-ТЭ</v>
      </c>
      <c r="C44" s="51" t="s">
        <v>62</v>
      </c>
      <c r="D44" s="52"/>
      <c r="E44" s="53" t="s">
        <v>72</v>
      </c>
      <c r="F44" s="54" t="s">
        <v>17</v>
      </c>
      <c r="G44" s="55" t="s">
        <v>40</v>
      </c>
      <c r="H44" s="56">
        <v>1141922.25</v>
      </c>
      <c r="I44" s="54" t="s">
        <v>31</v>
      </c>
      <c r="J44" s="57">
        <v>42460</v>
      </c>
    </row>
    <row r="45" spans="1:10" ht="51.75" hidden="1">
      <c r="A45" s="51" t="s">
        <v>14</v>
      </c>
      <c r="B45" s="51" t="str">
        <f>"06.510280ГВС"</f>
        <v>06.510280ГВС</v>
      </c>
      <c r="C45" s="51" t="s">
        <v>62</v>
      </c>
      <c r="D45" s="52"/>
      <c r="E45" s="53" t="s">
        <v>72</v>
      </c>
      <c r="F45" s="54" t="s">
        <v>17</v>
      </c>
      <c r="G45" s="55" t="s">
        <v>40</v>
      </c>
      <c r="H45" s="56">
        <v>1800306.2200000002</v>
      </c>
      <c r="I45" s="54" t="s">
        <v>33</v>
      </c>
      <c r="J45" s="57">
        <v>42460</v>
      </c>
    </row>
    <row r="46" spans="1:10" ht="51.75" hidden="1">
      <c r="A46" s="51" t="s">
        <v>14</v>
      </c>
      <c r="B46" s="51" t="str">
        <f>"06.510282-ТЭ"</f>
        <v>06.510282-ТЭ</v>
      </c>
      <c r="C46" s="51" t="s">
        <v>62</v>
      </c>
      <c r="D46" s="52"/>
      <c r="E46" s="53" t="s">
        <v>73</v>
      </c>
      <c r="F46" s="54" t="s">
        <v>17</v>
      </c>
      <c r="G46" s="55" t="s">
        <v>40</v>
      </c>
      <c r="H46" s="56">
        <v>706766.77</v>
      </c>
      <c r="I46" s="54" t="s">
        <v>28</v>
      </c>
      <c r="J46" s="57">
        <v>42460</v>
      </c>
    </row>
    <row r="47" spans="1:10" ht="51.75" hidden="1">
      <c r="A47" s="51" t="s">
        <v>14</v>
      </c>
      <c r="B47" s="51" t="str">
        <f>"06.510282ГВС"</f>
        <v>06.510282ГВС</v>
      </c>
      <c r="C47" s="51" t="s">
        <v>62</v>
      </c>
      <c r="D47" s="52"/>
      <c r="E47" s="53" t="s">
        <v>73</v>
      </c>
      <c r="F47" s="54" t="s">
        <v>17</v>
      </c>
      <c r="G47" s="55" t="s">
        <v>40</v>
      </c>
      <c r="H47" s="56">
        <v>816913.91999999993</v>
      </c>
      <c r="I47" s="54" t="s">
        <v>74</v>
      </c>
      <c r="J47" s="57">
        <v>42460</v>
      </c>
    </row>
    <row r="48" spans="1:10" ht="51.75" hidden="1">
      <c r="A48" s="51" t="s">
        <v>14</v>
      </c>
      <c r="B48" s="51" t="str">
        <f>"06.510283-ТЭ"</f>
        <v>06.510283-ТЭ</v>
      </c>
      <c r="C48" s="51" t="s">
        <v>62</v>
      </c>
      <c r="D48" s="52"/>
      <c r="E48" s="53" t="s">
        <v>75</v>
      </c>
      <c r="F48" s="54" t="s">
        <v>17</v>
      </c>
      <c r="G48" s="55" t="s">
        <v>40</v>
      </c>
      <c r="H48" s="56">
        <v>1097552.93</v>
      </c>
      <c r="I48" s="54" t="s">
        <v>31</v>
      </c>
      <c r="J48" s="57">
        <v>42460</v>
      </c>
    </row>
    <row r="49" spans="1:10" ht="51.75" hidden="1">
      <c r="A49" s="51" t="s">
        <v>14</v>
      </c>
      <c r="B49" s="51" t="str">
        <f>"06.510283ГВС"</f>
        <v>06.510283ГВС</v>
      </c>
      <c r="C49" s="51" t="s">
        <v>62</v>
      </c>
      <c r="D49" s="52"/>
      <c r="E49" s="53" t="s">
        <v>75</v>
      </c>
      <c r="F49" s="54" t="s">
        <v>17</v>
      </c>
      <c r="G49" s="55" t="s">
        <v>40</v>
      </c>
      <c r="H49" s="56">
        <v>2161828.8199999998</v>
      </c>
      <c r="I49" s="54" t="s">
        <v>56</v>
      </c>
      <c r="J49" s="57">
        <v>42460</v>
      </c>
    </row>
    <row r="50" spans="1:10" ht="64.5" hidden="1">
      <c r="A50" s="51" t="s">
        <v>14</v>
      </c>
      <c r="B50" s="51" t="str">
        <f>"06.510286-ТЭ"</f>
        <v>06.510286-ТЭ</v>
      </c>
      <c r="C50" s="51" t="s">
        <v>51</v>
      </c>
      <c r="D50" s="52"/>
      <c r="E50" s="53" t="s">
        <v>76</v>
      </c>
      <c r="F50" s="54" t="s">
        <v>17</v>
      </c>
      <c r="G50" s="55" t="s">
        <v>37</v>
      </c>
      <c r="H50" s="56">
        <v>703243.57999999984</v>
      </c>
      <c r="I50" s="54" t="s">
        <v>23</v>
      </c>
      <c r="J50" s="57">
        <v>42460</v>
      </c>
    </row>
    <row r="51" spans="1:10" ht="64.5" hidden="1">
      <c r="A51" s="51" t="s">
        <v>14</v>
      </c>
      <c r="B51" s="51" t="str">
        <f>"06.510289-ТЭ"</f>
        <v>06.510289-ТЭ</v>
      </c>
      <c r="C51" s="51" t="s">
        <v>41</v>
      </c>
      <c r="D51" s="52"/>
      <c r="E51" s="53" t="s">
        <v>77</v>
      </c>
      <c r="F51" s="54" t="s">
        <v>17</v>
      </c>
      <c r="G51" s="55" t="s">
        <v>37</v>
      </c>
      <c r="H51" s="56">
        <v>2058592.4299999997</v>
      </c>
      <c r="I51" s="54" t="s">
        <v>78</v>
      </c>
      <c r="J51" s="57">
        <v>42460</v>
      </c>
    </row>
    <row r="52" spans="1:10" ht="39" hidden="1">
      <c r="A52" s="51" t="s">
        <v>14</v>
      </c>
      <c r="B52" s="51" t="str">
        <f>"06.510290-ТЭ"</f>
        <v>06.510290-ТЭ</v>
      </c>
      <c r="C52" s="51" t="s">
        <v>79</v>
      </c>
      <c r="D52" s="52"/>
      <c r="E52" s="53" t="s">
        <v>80</v>
      </c>
      <c r="F52" s="54" t="s">
        <v>17</v>
      </c>
      <c r="G52" s="55" t="s">
        <v>45</v>
      </c>
      <c r="H52" s="56">
        <v>398548.01</v>
      </c>
      <c r="I52" s="54" t="s">
        <v>27</v>
      </c>
      <c r="J52" s="57">
        <v>42460</v>
      </c>
    </row>
    <row r="53" spans="1:10" ht="64.5" hidden="1">
      <c r="A53" s="51" t="s">
        <v>14</v>
      </c>
      <c r="B53" s="51" t="str">
        <f>"06.510323-ТЭ"</f>
        <v>06.510323-ТЭ</v>
      </c>
      <c r="C53" s="51" t="s">
        <v>81</v>
      </c>
      <c r="D53" s="52"/>
      <c r="E53" s="53" t="s">
        <v>82</v>
      </c>
      <c r="F53" s="54" t="s">
        <v>17</v>
      </c>
      <c r="G53" s="55" t="s">
        <v>37</v>
      </c>
      <c r="H53" s="56">
        <v>568552.42999999993</v>
      </c>
      <c r="I53" s="54" t="s">
        <v>23</v>
      </c>
      <c r="J53" s="57">
        <v>42460</v>
      </c>
    </row>
    <row r="54" spans="1:10" ht="64.5" hidden="1">
      <c r="A54" s="51" t="s">
        <v>14</v>
      </c>
      <c r="B54" s="51" t="str">
        <f>"06.510337-ТЭ"</f>
        <v>06.510337-ТЭ</v>
      </c>
      <c r="C54" s="51" t="s">
        <v>46</v>
      </c>
      <c r="D54" s="52"/>
      <c r="E54" s="53" t="s">
        <v>83</v>
      </c>
      <c r="F54" s="54" t="s">
        <v>17</v>
      </c>
      <c r="G54" s="55" t="s">
        <v>37</v>
      </c>
      <c r="H54" s="56">
        <v>1884647.7199999997</v>
      </c>
      <c r="I54" s="54" t="s">
        <v>84</v>
      </c>
      <c r="J54" s="57">
        <v>42460</v>
      </c>
    </row>
    <row r="55" spans="1:10" ht="64.5" hidden="1">
      <c r="A55" s="51" t="s">
        <v>14</v>
      </c>
      <c r="B55" s="51" t="str">
        <f>"06.510341-ТЭ"</f>
        <v>06.510341-ТЭ</v>
      </c>
      <c r="C55" s="51" t="s">
        <v>46</v>
      </c>
      <c r="D55" s="52"/>
      <c r="E55" s="53" t="s">
        <v>85</v>
      </c>
      <c r="F55" s="54" t="s">
        <v>17</v>
      </c>
      <c r="G55" s="55" t="s">
        <v>37</v>
      </c>
      <c r="H55" s="56">
        <v>1685027.8600000003</v>
      </c>
      <c r="I55" s="54" t="s">
        <v>27</v>
      </c>
      <c r="J55" s="57">
        <v>42460</v>
      </c>
    </row>
    <row r="56" spans="1:10" ht="39" hidden="1">
      <c r="A56" s="51" t="s">
        <v>14</v>
      </c>
      <c r="B56" s="51" t="str">
        <f>"06.510363-ТЭ"</f>
        <v>06.510363-ТЭ</v>
      </c>
      <c r="C56" s="51" t="s">
        <v>24</v>
      </c>
      <c r="D56" s="52"/>
      <c r="E56" s="53" t="s">
        <v>86</v>
      </c>
      <c r="F56" s="54" t="s">
        <v>17</v>
      </c>
      <c r="G56" s="55" t="s">
        <v>45</v>
      </c>
      <c r="H56" s="56">
        <v>1430870.26</v>
      </c>
      <c r="I56" s="54" t="s">
        <v>27</v>
      </c>
      <c r="J56" s="57">
        <v>42460</v>
      </c>
    </row>
    <row r="57" spans="1:10" ht="39" hidden="1">
      <c r="A57" s="51" t="s">
        <v>14</v>
      </c>
      <c r="B57" s="51" t="str">
        <f>"06.510363ГВС"</f>
        <v>06.510363ГВС</v>
      </c>
      <c r="C57" s="51" t="s">
        <v>24</v>
      </c>
      <c r="D57" s="52"/>
      <c r="E57" s="53" t="s">
        <v>86</v>
      </c>
      <c r="F57" s="54" t="s">
        <v>17</v>
      </c>
      <c r="G57" s="55" t="s">
        <v>45</v>
      </c>
      <c r="H57" s="56">
        <v>526519.36</v>
      </c>
      <c r="I57" s="54" t="s">
        <v>19</v>
      </c>
      <c r="J57" s="57">
        <v>42460</v>
      </c>
    </row>
    <row r="58" spans="1:10" ht="64.5" hidden="1">
      <c r="A58" s="51" t="s">
        <v>14</v>
      </c>
      <c r="B58" s="51" t="str">
        <f>"06.510368-ТЭ"</f>
        <v>06.510368-ТЭ</v>
      </c>
      <c r="C58" s="51" t="s">
        <v>79</v>
      </c>
      <c r="D58" s="52"/>
      <c r="E58" s="53" t="s">
        <v>87</v>
      </c>
      <c r="F58" s="54" t="s">
        <v>17</v>
      </c>
      <c r="G58" s="55" t="s">
        <v>37</v>
      </c>
      <c r="H58" s="56">
        <v>469187.61000000004</v>
      </c>
      <c r="I58" s="54" t="s">
        <v>28</v>
      </c>
      <c r="J58" s="57">
        <v>42460</v>
      </c>
    </row>
    <row r="59" spans="1:10" ht="64.5" hidden="1">
      <c r="A59" s="51" t="s">
        <v>14</v>
      </c>
      <c r="B59" s="51" t="str">
        <f>"06.510369-ТЭ"</f>
        <v>06.510369-ТЭ</v>
      </c>
      <c r="C59" s="51" t="s">
        <v>79</v>
      </c>
      <c r="D59" s="52"/>
      <c r="E59" s="53" t="s">
        <v>88</v>
      </c>
      <c r="F59" s="54" t="s">
        <v>17</v>
      </c>
      <c r="G59" s="55" t="s">
        <v>37</v>
      </c>
      <c r="H59" s="56">
        <v>1242340.6099999999</v>
      </c>
      <c r="I59" s="54" t="s">
        <v>84</v>
      </c>
      <c r="J59" s="57">
        <v>42460</v>
      </c>
    </row>
    <row r="60" spans="1:10" ht="39" hidden="1">
      <c r="A60" s="51" t="s">
        <v>14</v>
      </c>
      <c r="B60" s="51" t="str">
        <f>"06.510386-ТЭ"</f>
        <v>06.510386-ТЭ</v>
      </c>
      <c r="C60" s="51" t="s">
        <v>43</v>
      </c>
      <c r="D60" s="52"/>
      <c r="E60" s="53" t="s">
        <v>89</v>
      </c>
      <c r="F60" s="54" t="s">
        <v>17</v>
      </c>
      <c r="G60" s="55" t="s">
        <v>45</v>
      </c>
      <c r="H60" s="56">
        <v>4840828.3499999996</v>
      </c>
      <c r="I60" s="54" t="s">
        <v>90</v>
      </c>
      <c r="J60" s="57">
        <v>42460</v>
      </c>
    </row>
    <row r="61" spans="1:10" ht="39" hidden="1">
      <c r="A61" s="51" t="s">
        <v>14</v>
      </c>
      <c r="B61" s="51" t="str">
        <f>"06.510387-ТЭ"</f>
        <v>06.510387-ТЭ</v>
      </c>
      <c r="C61" s="51" t="s">
        <v>43</v>
      </c>
      <c r="D61" s="52"/>
      <c r="E61" s="53" t="s">
        <v>91</v>
      </c>
      <c r="F61" s="54" t="s">
        <v>17</v>
      </c>
      <c r="G61" s="55" t="s">
        <v>45</v>
      </c>
      <c r="H61" s="56">
        <v>3524574.8700000006</v>
      </c>
      <c r="I61" s="54" t="s">
        <v>31</v>
      </c>
      <c r="J61" s="57">
        <v>42460</v>
      </c>
    </row>
    <row r="62" spans="1:10" ht="64.5" hidden="1">
      <c r="A62" s="51" t="s">
        <v>14</v>
      </c>
      <c r="B62" s="51" t="str">
        <f>"06.510406-ТЭ"</f>
        <v>06.510406-ТЭ</v>
      </c>
      <c r="C62" s="51" t="s">
        <v>43</v>
      </c>
      <c r="D62" s="52"/>
      <c r="E62" s="53" t="s">
        <v>92</v>
      </c>
      <c r="F62" s="54" t="s">
        <v>17</v>
      </c>
      <c r="G62" s="55" t="s">
        <v>37</v>
      </c>
      <c r="H62" s="56">
        <v>488472.93999999983</v>
      </c>
      <c r="I62" s="54" t="s">
        <v>23</v>
      </c>
      <c r="J62" s="57">
        <v>42460</v>
      </c>
    </row>
    <row r="63" spans="1:10" ht="64.5" hidden="1">
      <c r="A63" s="51" t="s">
        <v>14</v>
      </c>
      <c r="B63" s="51" t="str">
        <f>"06.510451-ТЭ"</f>
        <v>06.510451-ТЭ</v>
      </c>
      <c r="C63" s="51" t="s">
        <v>24</v>
      </c>
      <c r="D63" s="52"/>
      <c r="E63" s="53" t="s">
        <v>93</v>
      </c>
      <c r="F63" s="54" t="s">
        <v>17</v>
      </c>
      <c r="G63" s="55" t="s">
        <v>37</v>
      </c>
      <c r="H63" s="56">
        <v>988617.72999999986</v>
      </c>
      <c r="I63" s="54" t="s">
        <v>94</v>
      </c>
      <c r="J63" s="57">
        <v>42460</v>
      </c>
    </row>
    <row r="64" spans="1:10" ht="64.5" hidden="1">
      <c r="A64" s="51" t="s">
        <v>14</v>
      </c>
      <c r="B64" s="51" t="str">
        <f>"06.510451ГВС"</f>
        <v>06.510451ГВС</v>
      </c>
      <c r="C64" s="51" t="s">
        <v>24</v>
      </c>
      <c r="D64" s="52"/>
      <c r="E64" s="53" t="s">
        <v>93</v>
      </c>
      <c r="F64" s="54" t="s">
        <v>17</v>
      </c>
      <c r="G64" s="55" t="s">
        <v>37</v>
      </c>
      <c r="H64" s="56">
        <v>186671.79</v>
      </c>
      <c r="I64" s="54" t="s">
        <v>23</v>
      </c>
      <c r="J64" s="57">
        <v>42460</v>
      </c>
    </row>
    <row r="65" spans="1:10" ht="26.25" hidden="1">
      <c r="A65" s="51" t="s">
        <v>14</v>
      </c>
      <c r="B65" s="51" t="str">
        <f>"06.513007-ТЭ"</f>
        <v>06.513007-ТЭ</v>
      </c>
      <c r="C65" s="51" t="s">
        <v>95</v>
      </c>
      <c r="D65" s="52"/>
      <c r="E65" s="53" t="s">
        <v>96</v>
      </c>
      <c r="F65" s="54" t="s">
        <v>17</v>
      </c>
      <c r="G65" s="55" t="s">
        <v>97</v>
      </c>
      <c r="H65" s="56">
        <v>261063.61000000002</v>
      </c>
      <c r="I65" s="54" t="s">
        <v>31</v>
      </c>
      <c r="J65" s="57">
        <v>42460</v>
      </c>
    </row>
    <row r="66" spans="1:10" ht="26.25" hidden="1">
      <c r="A66" s="51" t="s">
        <v>14</v>
      </c>
      <c r="B66" s="51" t="str">
        <f>"06.513027-ТЭ"</f>
        <v>06.513027-ТЭ</v>
      </c>
      <c r="C66" s="51" t="s">
        <v>24</v>
      </c>
      <c r="D66" s="52"/>
      <c r="E66" s="53" t="s">
        <v>98</v>
      </c>
      <c r="F66" s="54" t="s">
        <v>17</v>
      </c>
      <c r="G66" s="55" t="s">
        <v>97</v>
      </c>
      <c r="H66" s="56">
        <v>1960.1200000000244</v>
      </c>
      <c r="I66" s="54" t="s">
        <v>19</v>
      </c>
      <c r="J66" s="57">
        <v>42460</v>
      </c>
    </row>
    <row r="67" spans="1:10" ht="39" hidden="1">
      <c r="A67" s="51" t="s">
        <v>14</v>
      </c>
      <c r="B67" s="51" t="str">
        <f>"06.513058-ТЭ"</f>
        <v>06.513058-ТЭ</v>
      </c>
      <c r="C67" s="51" t="s">
        <v>24</v>
      </c>
      <c r="D67" s="52"/>
      <c r="E67" s="53" t="s">
        <v>99</v>
      </c>
      <c r="F67" s="54" t="s">
        <v>17</v>
      </c>
      <c r="G67" s="55" t="s">
        <v>97</v>
      </c>
      <c r="H67" s="56">
        <v>1117166.6500000001</v>
      </c>
      <c r="I67" s="54" t="s">
        <v>23</v>
      </c>
      <c r="J67" s="57">
        <v>42460</v>
      </c>
    </row>
    <row r="68" spans="1:10" ht="26.25" hidden="1">
      <c r="A68" s="51" t="s">
        <v>14</v>
      </c>
      <c r="B68" s="51" t="str">
        <f>"06.513060-ТЭ"</f>
        <v>06.513060-ТЭ</v>
      </c>
      <c r="C68" s="51" t="s">
        <v>41</v>
      </c>
      <c r="D68" s="52"/>
      <c r="E68" s="53" t="s">
        <v>100</v>
      </c>
      <c r="F68" s="54" t="s">
        <v>17</v>
      </c>
      <c r="G68" s="55" t="s">
        <v>97</v>
      </c>
      <c r="H68" s="56">
        <v>612023.99</v>
      </c>
      <c r="I68" s="54" t="s">
        <v>23</v>
      </c>
      <c r="J68" s="57">
        <v>42460</v>
      </c>
    </row>
    <row r="69" spans="1:10" ht="26.25" hidden="1">
      <c r="A69" s="51" t="s">
        <v>14</v>
      </c>
      <c r="B69" s="51" t="str">
        <f>"06.513064-ТЭ"</f>
        <v>06.513064-ТЭ</v>
      </c>
      <c r="C69" s="51" t="s">
        <v>101</v>
      </c>
      <c r="D69" s="52"/>
      <c r="E69" s="53" t="s">
        <v>102</v>
      </c>
      <c r="F69" s="54" t="s">
        <v>17</v>
      </c>
      <c r="G69" s="55" t="s">
        <v>97</v>
      </c>
      <c r="H69" s="56">
        <v>899600.61999999988</v>
      </c>
      <c r="I69" s="54" t="s">
        <v>23</v>
      </c>
      <c r="J69" s="57">
        <v>42460</v>
      </c>
    </row>
    <row r="70" spans="1:10" ht="26.25" hidden="1">
      <c r="A70" s="51" t="s">
        <v>14</v>
      </c>
      <c r="B70" s="51" t="str">
        <f>"06.513081-ТЭ"</f>
        <v>06.513081-ТЭ</v>
      </c>
      <c r="C70" s="51" t="s">
        <v>24</v>
      </c>
      <c r="D70" s="52"/>
      <c r="E70" s="53" t="s">
        <v>103</v>
      </c>
      <c r="F70" s="54" t="s">
        <v>17</v>
      </c>
      <c r="G70" s="55" t="s">
        <v>97</v>
      </c>
      <c r="H70" s="56">
        <v>618746.08000000007</v>
      </c>
      <c r="I70" s="54" t="s">
        <v>28</v>
      </c>
      <c r="J70" s="57">
        <v>42460</v>
      </c>
    </row>
    <row r="71" spans="1:10" ht="26.25" hidden="1">
      <c r="A71" s="51" t="s">
        <v>14</v>
      </c>
      <c r="B71" s="51" t="str">
        <f>"06.513081ГВС"</f>
        <v>06.513081ГВС</v>
      </c>
      <c r="C71" s="51" t="s">
        <v>24</v>
      </c>
      <c r="D71" s="52"/>
      <c r="E71" s="53" t="s">
        <v>103</v>
      </c>
      <c r="F71" s="54" t="s">
        <v>17</v>
      </c>
      <c r="G71" s="55" t="s">
        <v>97</v>
      </c>
      <c r="H71" s="56">
        <v>189184.86</v>
      </c>
      <c r="I71" s="54" t="s">
        <v>28</v>
      </c>
      <c r="J71" s="57">
        <v>42460</v>
      </c>
    </row>
    <row r="72" spans="1:10" ht="26.25" hidden="1">
      <c r="A72" s="51" t="s">
        <v>14</v>
      </c>
      <c r="B72" s="51" t="str">
        <f>"06.513083-ТЭ"</f>
        <v>06.513083-ТЭ</v>
      </c>
      <c r="C72" s="51" t="s">
        <v>24</v>
      </c>
      <c r="D72" s="52"/>
      <c r="E72" s="53" t="s">
        <v>104</v>
      </c>
      <c r="F72" s="54" t="s">
        <v>17</v>
      </c>
      <c r="G72" s="55" t="s">
        <v>97</v>
      </c>
      <c r="H72" s="56">
        <v>142231.88</v>
      </c>
      <c r="I72" s="54" t="s">
        <v>27</v>
      </c>
      <c r="J72" s="57">
        <v>42460</v>
      </c>
    </row>
    <row r="73" spans="1:10" ht="26.25" hidden="1">
      <c r="A73" s="51" t="s">
        <v>14</v>
      </c>
      <c r="B73" s="51" t="str">
        <f>"06.513087-ТЭ"</f>
        <v>06.513087-ТЭ</v>
      </c>
      <c r="C73" s="51" t="s">
        <v>24</v>
      </c>
      <c r="D73" s="52"/>
      <c r="E73" s="53" t="s">
        <v>105</v>
      </c>
      <c r="F73" s="54" t="s">
        <v>17</v>
      </c>
      <c r="G73" s="55" t="s">
        <v>97</v>
      </c>
      <c r="H73" s="56">
        <v>548614.73</v>
      </c>
      <c r="I73" s="54" t="s">
        <v>19</v>
      </c>
      <c r="J73" s="57">
        <v>42460</v>
      </c>
    </row>
    <row r="74" spans="1:10" ht="26.25" hidden="1">
      <c r="A74" s="51" t="s">
        <v>14</v>
      </c>
      <c r="B74" s="51" t="str">
        <f>"06.513087ГВС"</f>
        <v>06.513087ГВС</v>
      </c>
      <c r="C74" s="51" t="s">
        <v>24</v>
      </c>
      <c r="D74" s="52"/>
      <c r="E74" s="53" t="s">
        <v>105</v>
      </c>
      <c r="F74" s="54" t="s">
        <v>17</v>
      </c>
      <c r="G74" s="55" t="s">
        <v>97</v>
      </c>
      <c r="H74" s="56">
        <v>10471.919999999998</v>
      </c>
      <c r="I74" s="54" t="s">
        <v>23</v>
      </c>
      <c r="J74" s="57">
        <v>42460</v>
      </c>
    </row>
    <row r="75" spans="1:10" ht="26.25" hidden="1">
      <c r="A75" s="51" t="s">
        <v>14</v>
      </c>
      <c r="B75" s="51" t="str">
        <f>"06.513089-ТЭ"</f>
        <v>06.513089-ТЭ</v>
      </c>
      <c r="C75" s="51" t="s">
        <v>24</v>
      </c>
      <c r="D75" s="52"/>
      <c r="E75" s="53" t="s">
        <v>106</v>
      </c>
      <c r="F75" s="54" t="s">
        <v>17</v>
      </c>
      <c r="G75" s="55" t="s">
        <v>97</v>
      </c>
      <c r="H75" s="56">
        <v>63219.09</v>
      </c>
      <c r="I75" s="54" t="s">
        <v>19</v>
      </c>
      <c r="J75" s="57">
        <v>42460</v>
      </c>
    </row>
    <row r="76" spans="1:10" ht="26.25" hidden="1">
      <c r="A76" s="51" t="s">
        <v>14</v>
      </c>
      <c r="B76" s="51" t="str">
        <f>"06.513089ГВС"</f>
        <v>06.513089ГВС</v>
      </c>
      <c r="C76" s="51" t="s">
        <v>24</v>
      </c>
      <c r="D76" s="52"/>
      <c r="E76" s="53" t="s">
        <v>106</v>
      </c>
      <c r="F76" s="54" t="s">
        <v>17</v>
      </c>
      <c r="G76" s="55" t="s">
        <v>97</v>
      </c>
      <c r="H76" s="56">
        <v>1.4200000000128057</v>
      </c>
      <c r="I76" s="54" t="s">
        <v>31</v>
      </c>
      <c r="J76" s="57">
        <v>42460</v>
      </c>
    </row>
    <row r="77" spans="1:10" ht="26.25" hidden="1">
      <c r="A77" s="51" t="s">
        <v>14</v>
      </c>
      <c r="B77" s="51" t="str">
        <f>"06.513097-ТЭ"</f>
        <v>06.513097-ТЭ</v>
      </c>
      <c r="C77" s="51" t="s">
        <v>24</v>
      </c>
      <c r="D77" s="52"/>
      <c r="E77" s="53" t="s">
        <v>107</v>
      </c>
      <c r="F77" s="54" t="s">
        <v>17</v>
      </c>
      <c r="G77" s="55" t="s">
        <v>97</v>
      </c>
      <c r="H77" s="56">
        <v>330429.82</v>
      </c>
      <c r="I77" s="54" t="s">
        <v>23</v>
      </c>
      <c r="J77" s="57">
        <v>42460</v>
      </c>
    </row>
    <row r="78" spans="1:10" ht="39" hidden="1">
      <c r="A78" s="51" t="s">
        <v>14</v>
      </c>
      <c r="B78" s="51" t="str">
        <f>"06.513276-ТЭ"</f>
        <v>06.513276-ТЭ</v>
      </c>
      <c r="C78" s="51" t="s">
        <v>24</v>
      </c>
      <c r="D78" s="52"/>
      <c r="E78" s="53" t="s">
        <v>108</v>
      </c>
      <c r="F78" s="54" t="s">
        <v>17</v>
      </c>
      <c r="G78" s="55" t="s">
        <v>97</v>
      </c>
      <c r="H78" s="56">
        <v>2810304.89</v>
      </c>
      <c r="I78" s="54" t="s">
        <v>109</v>
      </c>
      <c r="J78" s="57">
        <v>42460</v>
      </c>
    </row>
    <row r="79" spans="1:10" ht="39" hidden="1">
      <c r="A79" s="51" t="s">
        <v>14</v>
      </c>
      <c r="B79" s="51" t="str">
        <f>"06.513276ГВС"</f>
        <v>06.513276ГВС</v>
      </c>
      <c r="C79" s="51" t="s">
        <v>24</v>
      </c>
      <c r="D79" s="52"/>
      <c r="E79" s="53" t="s">
        <v>108</v>
      </c>
      <c r="F79" s="54" t="s">
        <v>17</v>
      </c>
      <c r="G79" s="55" t="s">
        <v>97</v>
      </c>
      <c r="H79" s="56">
        <v>639283.84</v>
      </c>
      <c r="I79" s="54" t="s">
        <v>23</v>
      </c>
      <c r="J79" s="57">
        <v>42460</v>
      </c>
    </row>
    <row r="80" spans="1:10" ht="26.25" hidden="1">
      <c r="A80" s="51" t="s">
        <v>14</v>
      </c>
      <c r="B80" s="51" t="str">
        <f>"06.513282-ТЭ"</f>
        <v>06.513282-ТЭ</v>
      </c>
      <c r="C80" s="51" t="s">
        <v>51</v>
      </c>
      <c r="D80" s="52"/>
      <c r="E80" s="53" t="s">
        <v>110</v>
      </c>
      <c r="F80" s="54" t="s">
        <v>17</v>
      </c>
      <c r="G80" s="55" t="s">
        <v>97</v>
      </c>
      <c r="H80" s="56">
        <v>424992.36999999994</v>
      </c>
      <c r="I80" s="54" t="s">
        <v>23</v>
      </c>
      <c r="J80" s="57">
        <v>42460</v>
      </c>
    </row>
    <row r="81" spans="1:10" ht="26.25" hidden="1">
      <c r="A81" s="51" t="s">
        <v>14</v>
      </c>
      <c r="B81" s="51" t="str">
        <f>"06.514055-ТЭ"</f>
        <v>06.514055-ТЭ</v>
      </c>
      <c r="C81" s="51" t="s">
        <v>24</v>
      </c>
      <c r="D81" s="52"/>
      <c r="E81" s="53" t="s">
        <v>111</v>
      </c>
      <c r="F81" s="54" t="s">
        <v>17</v>
      </c>
      <c r="G81" s="55" t="s">
        <v>112</v>
      </c>
      <c r="H81" s="56">
        <v>1.9999999989522621E-2</v>
      </c>
      <c r="I81" s="54" t="s">
        <v>27</v>
      </c>
      <c r="J81" s="57">
        <v>42460</v>
      </c>
    </row>
    <row r="82" spans="1:10" ht="39" hidden="1">
      <c r="A82" s="51" t="s">
        <v>14</v>
      </c>
      <c r="B82" s="51" t="str">
        <f>"06.518016-ТЭ"</f>
        <v>06.518016-ТЭ</v>
      </c>
      <c r="C82" s="51" t="s">
        <v>24</v>
      </c>
      <c r="D82" s="52"/>
      <c r="E82" s="53" t="s">
        <v>113</v>
      </c>
      <c r="F82" s="54" t="s">
        <v>17</v>
      </c>
      <c r="G82" s="55" t="s">
        <v>22</v>
      </c>
      <c r="H82" s="56">
        <v>200000</v>
      </c>
      <c r="I82" s="54" t="s">
        <v>23</v>
      </c>
      <c r="J82" s="57">
        <v>42460</v>
      </c>
    </row>
    <row r="83" spans="1:10" ht="39" hidden="1">
      <c r="A83" s="51" t="s">
        <v>14</v>
      </c>
      <c r="B83" s="51" t="str">
        <f>"06.518068-ТЭ"</f>
        <v>06.518068-ТЭ</v>
      </c>
      <c r="C83" s="51" t="s">
        <v>41</v>
      </c>
      <c r="D83" s="52"/>
      <c r="E83" s="53" t="s">
        <v>114</v>
      </c>
      <c r="F83" s="54" t="s">
        <v>17</v>
      </c>
      <c r="G83" s="55" t="s">
        <v>22</v>
      </c>
      <c r="H83" s="56">
        <v>190388.08000000007</v>
      </c>
      <c r="I83" s="54" t="s">
        <v>115</v>
      </c>
      <c r="J83" s="57">
        <v>42460</v>
      </c>
    </row>
    <row r="84" spans="1:10" ht="51.75" hidden="1">
      <c r="A84" s="51" t="s">
        <v>14</v>
      </c>
      <c r="B84" s="51" t="str">
        <f>"06.518075-ТЭ"</f>
        <v>06.518075-ТЭ</v>
      </c>
      <c r="C84" s="51" t="s">
        <v>116</v>
      </c>
      <c r="D84" s="52"/>
      <c r="E84" s="53" t="s">
        <v>117</v>
      </c>
      <c r="F84" s="54" t="s">
        <v>17</v>
      </c>
      <c r="G84" s="55" t="s">
        <v>40</v>
      </c>
      <c r="H84" s="56">
        <v>107325.16</v>
      </c>
      <c r="I84" s="54" t="s">
        <v>23</v>
      </c>
      <c r="J84" s="57">
        <v>42460</v>
      </c>
    </row>
    <row r="85" spans="1:10" ht="39" hidden="1">
      <c r="A85" s="51" t="s">
        <v>14</v>
      </c>
      <c r="B85" s="51" t="str">
        <f>"06.518097-ТЭ"</f>
        <v>06.518097-ТЭ</v>
      </c>
      <c r="C85" s="51" t="s">
        <v>118</v>
      </c>
      <c r="D85" s="52"/>
      <c r="E85" s="53" t="s">
        <v>119</v>
      </c>
      <c r="F85" s="54" t="s">
        <v>17</v>
      </c>
      <c r="G85" s="55" t="s">
        <v>22</v>
      </c>
      <c r="H85" s="56">
        <v>423458.5</v>
      </c>
      <c r="I85" s="54" t="s">
        <v>19</v>
      </c>
      <c r="J85" s="57">
        <v>42460</v>
      </c>
    </row>
    <row r="86" spans="1:10" ht="39" hidden="1">
      <c r="A86" s="51" t="s">
        <v>14</v>
      </c>
      <c r="B86" s="51" t="str">
        <f>"06.518402-ТЭ"</f>
        <v>06.518402-ТЭ</v>
      </c>
      <c r="C86" s="51" t="s">
        <v>120</v>
      </c>
      <c r="D86" s="52"/>
      <c r="E86" s="53" t="s">
        <v>121</v>
      </c>
      <c r="F86" s="54" t="s">
        <v>17</v>
      </c>
      <c r="G86" s="55" t="s">
        <v>22</v>
      </c>
      <c r="H86" s="56">
        <v>150000.07000000007</v>
      </c>
      <c r="I86" s="54" t="s">
        <v>48</v>
      </c>
      <c r="J86" s="57">
        <v>42460</v>
      </c>
    </row>
    <row r="87" spans="1:10" ht="39" hidden="1">
      <c r="A87" s="51" t="s">
        <v>14</v>
      </c>
      <c r="B87" s="51" t="str">
        <f>"06.518403-ТЭ"</f>
        <v>06.518403-ТЭ</v>
      </c>
      <c r="C87" s="51" t="s">
        <v>122</v>
      </c>
      <c r="D87" s="52"/>
      <c r="E87" s="53" t="s">
        <v>123</v>
      </c>
      <c r="F87" s="54" t="s">
        <v>17</v>
      </c>
      <c r="G87" s="55" t="s">
        <v>22</v>
      </c>
      <c r="H87" s="56">
        <v>2104583.19</v>
      </c>
      <c r="I87" s="54" t="s">
        <v>90</v>
      </c>
      <c r="J87" s="57">
        <v>42460</v>
      </c>
    </row>
    <row r="88" spans="1:10" ht="51.75" hidden="1">
      <c r="A88" s="51" t="s">
        <v>14</v>
      </c>
      <c r="B88" s="51" t="str">
        <f>"06.518501-ТЭ"</f>
        <v>06.518501-ТЭ</v>
      </c>
      <c r="C88" s="51" t="s">
        <v>20</v>
      </c>
      <c r="D88" s="52"/>
      <c r="E88" s="53" t="s">
        <v>124</v>
      </c>
      <c r="F88" s="54" t="s">
        <v>17</v>
      </c>
      <c r="G88" s="55" t="s">
        <v>40</v>
      </c>
      <c r="H88" s="56">
        <v>2013914.4099999997</v>
      </c>
      <c r="I88" s="54" t="s">
        <v>27</v>
      </c>
      <c r="J88" s="57">
        <v>42460</v>
      </c>
    </row>
    <row r="89" spans="1:10" ht="26.25" hidden="1">
      <c r="A89" s="51" t="s">
        <v>14</v>
      </c>
      <c r="B89" s="51" t="str">
        <f>"06.520005-ТЭ"</f>
        <v>06.520005-ТЭ</v>
      </c>
      <c r="C89" s="51" t="s">
        <v>24</v>
      </c>
      <c r="D89" s="52"/>
      <c r="E89" s="53" t="s">
        <v>125</v>
      </c>
      <c r="F89" s="54" t="s">
        <v>17</v>
      </c>
      <c r="G89" s="55" t="s">
        <v>126</v>
      </c>
      <c r="H89" s="56">
        <v>930818.85999999987</v>
      </c>
      <c r="I89" s="54" t="s">
        <v>27</v>
      </c>
      <c r="J89" s="57">
        <v>42460</v>
      </c>
    </row>
    <row r="90" spans="1:10" ht="26.25" hidden="1">
      <c r="A90" s="51" t="s">
        <v>14</v>
      </c>
      <c r="B90" s="51" t="str">
        <f>"06.520005ГВС"</f>
        <v>06.520005ГВС</v>
      </c>
      <c r="C90" s="51" t="s">
        <v>24</v>
      </c>
      <c r="D90" s="52"/>
      <c r="E90" s="53" t="s">
        <v>125</v>
      </c>
      <c r="F90" s="54" t="s">
        <v>17</v>
      </c>
      <c r="G90" s="55" t="s">
        <v>126</v>
      </c>
      <c r="H90" s="56">
        <v>145000</v>
      </c>
      <c r="I90" s="54" t="s">
        <v>19</v>
      </c>
      <c r="J90" s="57">
        <v>42460</v>
      </c>
    </row>
    <row r="91" spans="1:10" ht="26.25" hidden="1">
      <c r="A91" s="51" t="s">
        <v>14</v>
      </c>
      <c r="B91" s="51" t="str">
        <f>"06.520006-ТЭ"</f>
        <v>06.520006-ТЭ</v>
      </c>
      <c r="C91" s="51" t="s">
        <v>62</v>
      </c>
      <c r="D91" s="52"/>
      <c r="E91" s="53" t="s">
        <v>127</v>
      </c>
      <c r="F91" s="54" t="s">
        <v>17</v>
      </c>
      <c r="G91" s="55" t="s">
        <v>126</v>
      </c>
      <c r="H91" s="56">
        <v>574765.95000000007</v>
      </c>
      <c r="I91" s="54" t="s">
        <v>28</v>
      </c>
      <c r="J91" s="57">
        <v>42460</v>
      </c>
    </row>
    <row r="92" spans="1:10" ht="26.25" hidden="1">
      <c r="A92" s="51" t="s">
        <v>14</v>
      </c>
      <c r="B92" s="51" t="str">
        <f>"06.520011-ТЭ"</f>
        <v>06.520011-ТЭ</v>
      </c>
      <c r="C92" s="51" t="s">
        <v>62</v>
      </c>
      <c r="D92" s="52"/>
      <c r="E92" s="53" t="s">
        <v>128</v>
      </c>
      <c r="F92" s="54" t="s">
        <v>17</v>
      </c>
      <c r="G92" s="55" t="s">
        <v>97</v>
      </c>
      <c r="H92" s="56">
        <v>281918.20999999996</v>
      </c>
      <c r="I92" s="54" t="s">
        <v>19</v>
      </c>
      <c r="J92" s="57">
        <v>42460</v>
      </c>
    </row>
    <row r="93" spans="1:10" ht="39" hidden="1">
      <c r="A93" s="51" t="s">
        <v>14</v>
      </c>
      <c r="B93" s="51" t="str">
        <f>"06.520013-ТЭ"</f>
        <v>06.520013-ТЭ</v>
      </c>
      <c r="C93" s="51" t="s">
        <v>129</v>
      </c>
      <c r="D93" s="52"/>
      <c r="E93" s="53" t="s">
        <v>130</v>
      </c>
      <c r="F93" s="54" t="s">
        <v>17</v>
      </c>
      <c r="G93" s="55" t="s">
        <v>126</v>
      </c>
      <c r="H93" s="56">
        <v>2365283.1900000004</v>
      </c>
      <c r="I93" s="54" t="s">
        <v>27</v>
      </c>
      <c r="J93" s="57">
        <v>42460</v>
      </c>
    </row>
    <row r="94" spans="1:10" ht="39" hidden="1">
      <c r="A94" s="51" t="s">
        <v>14</v>
      </c>
      <c r="B94" s="51" t="str">
        <f>"06.520013ГВС"</f>
        <v>06.520013ГВС</v>
      </c>
      <c r="C94" s="51" t="s">
        <v>129</v>
      </c>
      <c r="D94" s="52"/>
      <c r="E94" s="53" t="s">
        <v>130</v>
      </c>
      <c r="F94" s="54" t="s">
        <v>17</v>
      </c>
      <c r="G94" s="55" t="s">
        <v>126</v>
      </c>
      <c r="H94" s="56">
        <v>363826.33</v>
      </c>
      <c r="I94" s="54" t="s">
        <v>23</v>
      </c>
      <c r="J94" s="57">
        <v>42460</v>
      </c>
    </row>
    <row r="95" spans="1:10" ht="26.25" hidden="1">
      <c r="A95" s="51" t="s">
        <v>14</v>
      </c>
      <c r="B95" s="51" t="str">
        <f>"06.520014-ТЭ"</f>
        <v>06.520014-ТЭ</v>
      </c>
      <c r="C95" s="51" t="s">
        <v>131</v>
      </c>
      <c r="D95" s="52"/>
      <c r="E95" s="53" t="s">
        <v>132</v>
      </c>
      <c r="F95" s="54" t="s">
        <v>17</v>
      </c>
      <c r="G95" s="55" t="s">
        <v>126</v>
      </c>
      <c r="H95" s="56">
        <v>324110.99</v>
      </c>
      <c r="I95" s="54" t="s">
        <v>23</v>
      </c>
      <c r="J95" s="57">
        <v>42460</v>
      </c>
    </row>
    <row r="96" spans="1:10" ht="26.25" hidden="1">
      <c r="A96" s="51" t="s">
        <v>14</v>
      </c>
      <c r="B96" s="51" t="str">
        <f>"06.520017-ТЭ"</f>
        <v>06.520017-ТЭ</v>
      </c>
      <c r="C96" s="51" t="s">
        <v>118</v>
      </c>
      <c r="D96" s="52"/>
      <c r="E96" s="53" t="s">
        <v>133</v>
      </c>
      <c r="F96" s="54" t="s">
        <v>17</v>
      </c>
      <c r="G96" s="55" t="s">
        <v>126</v>
      </c>
      <c r="H96" s="56">
        <v>736829.89</v>
      </c>
      <c r="I96" s="54" t="s">
        <v>19</v>
      </c>
      <c r="J96" s="57">
        <v>42460</v>
      </c>
    </row>
    <row r="97" spans="1:10" ht="39" hidden="1">
      <c r="A97" s="51" t="s">
        <v>14</v>
      </c>
      <c r="B97" s="51" t="str">
        <f>"06.520031-ТЭ"</f>
        <v>06.520031-ТЭ</v>
      </c>
      <c r="C97" s="51" t="s">
        <v>58</v>
      </c>
      <c r="D97" s="52"/>
      <c r="E97" s="53" t="s">
        <v>134</v>
      </c>
      <c r="F97" s="54" t="s">
        <v>17</v>
      </c>
      <c r="G97" s="55" t="s">
        <v>97</v>
      </c>
      <c r="H97" s="56">
        <v>959798.82999999984</v>
      </c>
      <c r="I97" s="54" t="s">
        <v>31</v>
      </c>
      <c r="J97" s="57">
        <v>42460</v>
      </c>
    </row>
    <row r="98" spans="1:10" ht="39" hidden="1">
      <c r="A98" s="51" t="s">
        <v>14</v>
      </c>
      <c r="B98" s="51" t="str">
        <f>"06.520080-ТЭ"</f>
        <v>06.520080-ТЭ</v>
      </c>
      <c r="C98" s="51" t="s">
        <v>135</v>
      </c>
      <c r="D98" s="52"/>
      <c r="E98" s="53" t="s">
        <v>136</v>
      </c>
      <c r="F98" s="54" t="s">
        <v>17</v>
      </c>
      <c r="G98" s="55" t="s">
        <v>22</v>
      </c>
      <c r="H98" s="56">
        <v>579039.74</v>
      </c>
      <c r="I98" s="54" t="s">
        <v>19</v>
      </c>
      <c r="J98" s="57">
        <v>42460</v>
      </c>
    </row>
    <row r="99" spans="1:10" ht="39" hidden="1">
      <c r="A99" s="51" t="s">
        <v>14</v>
      </c>
      <c r="B99" s="51" t="str">
        <f>"06.520094-ТЭ"</f>
        <v>06.520094-ТЭ</v>
      </c>
      <c r="C99" s="51" t="s">
        <v>51</v>
      </c>
      <c r="D99" s="52"/>
      <c r="E99" s="53" t="s">
        <v>137</v>
      </c>
      <c r="F99" s="54" t="s">
        <v>17</v>
      </c>
      <c r="G99" s="55" t="s">
        <v>22</v>
      </c>
      <c r="H99" s="56">
        <v>1014841.6499999999</v>
      </c>
      <c r="I99" s="54" t="s">
        <v>19</v>
      </c>
      <c r="J99" s="57">
        <v>42460</v>
      </c>
    </row>
    <row r="100" spans="1:10" ht="39" hidden="1">
      <c r="A100" s="51" t="s">
        <v>14</v>
      </c>
      <c r="B100" s="51" t="str">
        <f>"06.520202-ТЭ"</f>
        <v>06.520202-ТЭ</v>
      </c>
      <c r="C100" s="51" t="s">
        <v>138</v>
      </c>
      <c r="D100" s="52"/>
      <c r="E100" s="53" t="s">
        <v>139</v>
      </c>
      <c r="F100" s="54" t="s">
        <v>17</v>
      </c>
      <c r="G100" s="55" t="s">
        <v>22</v>
      </c>
      <c r="H100" s="56">
        <v>2204344.48</v>
      </c>
      <c r="I100" s="54" t="s">
        <v>28</v>
      </c>
      <c r="J100" s="57">
        <v>42460</v>
      </c>
    </row>
    <row r="101" spans="1:10" ht="39" hidden="1">
      <c r="A101" s="51" t="s">
        <v>14</v>
      </c>
      <c r="B101" s="51" t="str">
        <f>"06.520202ГВС"</f>
        <v>06.520202ГВС</v>
      </c>
      <c r="C101" s="51" t="s">
        <v>138</v>
      </c>
      <c r="D101" s="52"/>
      <c r="E101" s="53" t="s">
        <v>139</v>
      </c>
      <c r="F101" s="54" t="s">
        <v>17</v>
      </c>
      <c r="G101" s="55" t="s">
        <v>22</v>
      </c>
      <c r="H101" s="56">
        <v>457775.59</v>
      </c>
      <c r="I101" s="54" t="s">
        <v>19</v>
      </c>
      <c r="J101" s="57">
        <v>42460</v>
      </c>
    </row>
    <row r="102" spans="1:10" ht="39" hidden="1">
      <c r="A102" s="51" t="s">
        <v>14</v>
      </c>
      <c r="B102" s="51" t="str">
        <f>"06.520205ГВС"</f>
        <v>06.520205ГВС</v>
      </c>
      <c r="C102" s="51" t="s">
        <v>138</v>
      </c>
      <c r="D102" s="52"/>
      <c r="E102" s="53" t="s">
        <v>140</v>
      </c>
      <c r="F102" s="54" t="s">
        <v>17</v>
      </c>
      <c r="G102" s="55" t="s">
        <v>22</v>
      </c>
      <c r="H102" s="56">
        <v>206231.79</v>
      </c>
      <c r="I102" s="54" t="s">
        <v>141</v>
      </c>
      <c r="J102" s="57">
        <v>42460</v>
      </c>
    </row>
    <row r="103" spans="1:10" ht="26.25" hidden="1">
      <c r="A103" s="51" t="s">
        <v>14</v>
      </c>
      <c r="B103" s="51" t="str">
        <f>"06.520223-ТЭ"</f>
        <v>06.520223-ТЭ</v>
      </c>
      <c r="C103" s="51" t="s">
        <v>24</v>
      </c>
      <c r="D103" s="52"/>
      <c r="E103" s="53" t="s">
        <v>142</v>
      </c>
      <c r="F103" s="54" t="s">
        <v>17</v>
      </c>
      <c r="G103" s="55" t="s">
        <v>126</v>
      </c>
      <c r="H103" s="56">
        <v>673721.95</v>
      </c>
      <c r="I103" s="54" t="s">
        <v>94</v>
      </c>
      <c r="J103" s="57">
        <v>42460</v>
      </c>
    </row>
    <row r="104" spans="1:10" ht="26.25" hidden="1">
      <c r="A104" s="51" t="s">
        <v>14</v>
      </c>
      <c r="B104" s="51" t="str">
        <f>"06.520240-ТЭ"</f>
        <v>06.520240-ТЭ</v>
      </c>
      <c r="C104" s="51" t="s">
        <v>81</v>
      </c>
      <c r="D104" s="52"/>
      <c r="E104" s="53" t="s">
        <v>143</v>
      </c>
      <c r="F104" s="54" t="s">
        <v>17</v>
      </c>
      <c r="G104" s="55" t="s">
        <v>126</v>
      </c>
      <c r="H104" s="56">
        <v>3356199.42</v>
      </c>
      <c r="I104" s="54" t="s">
        <v>144</v>
      </c>
      <c r="J104" s="57">
        <v>42460</v>
      </c>
    </row>
    <row r="105" spans="1:10" ht="26.25" hidden="1">
      <c r="A105" s="51" t="s">
        <v>14</v>
      </c>
      <c r="B105" s="51" t="str">
        <f>"06.520257-ТЭ"</f>
        <v>06.520257-ТЭ</v>
      </c>
      <c r="C105" s="51" t="s">
        <v>24</v>
      </c>
      <c r="D105" s="52"/>
      <c r="E105" s="53" t="s">
        <v>145</v>
      </c>
      <c r="F105" s="54" t="s">
        <v>17</v>
      </c>
      <c r="G105" s="55" t="s">
        <v>126</v>
      </c>
      <c r="H105" s="56">
        <v>180924.52000000002</v>
      </c>
      <c r="I105" s="54" t="s">
        <v>27</v>
      </c>
      <c r="J105" s="57">
        <v>42460</v>
      </c>
    </row>
    <row r="106" spans="1:10" hidden="1">
      <c r="A106" s="51" t="s">
        <v>14</v>
      </c>
      <c r="B106" s="51" t="str">
        <f>"06.520258-ТЭ"</f>
        <v>06.520258-ТЭ</v>
      </c>
      <c r="C106" s="51" t="s">
        <v>146</v>
      </c>
      <c r="D106" s="52"/>
      <c r="E106" s="53" t="s">
        <v>147</v>
      </c>
      <c r="F106" s="54" t="s">
        <v>17</v>
      </c>
      <c r="G106" s="55" t="s">
        <v>148</v>
      </c>
      <c r="H106" s="56">
        <v>973806.72</v>
      </c>
      <c r="I106" s="54" t="s">
        <v>56</v>
      </c>
      <c r="J106" s="57">
        <v>42460</v>
      </c>
    </row>
    <row r="107" spans="1:10" hidden="1">
      <c r="A107" s="51" t="s">
        <v>14</v>
      </c>
      <c r="B107" s="51" t="str">
        <f>"06.520258ГВС"</f>
        <v>06.520258ГВС</v>
      </c>
      <c r="C107" s="51" t="s">
        <v>146</v>
      </c>
      <c r="D107" s="52"/>
      <c r="E107" s="53" t="s">
        <v>147</v>
      </c>
      <c r="F107" s="54" t="s">
        <v>17</v>
      </c>
      <c r="G107" s="55" t="s">
        <v>148</v>
      </c>
      <c r="H107" s="56">
        <v>389911.64</v>
      </c>
      <c r="I107" s="54" t="s">
        <v>149</v>
      </c>
      <c r="J107" s="57">
        <v>42460</v>
      </c>
    </row>
    <row r="108" spans="1:10" ht="26.25" hidden="1">
      <c r="A108" s="51" t="s">
        <v>14</v>
      </c>
      <c r="B108" s="51" t="str">
        <f>"06.520262-ТЭ"</f>
        <v>06.520262-ТЭ</v>
      </c>
      <c r="C108" s="51" t="s">
        <v>122</v>
      </c>
      <c r="D108" s="52"/>
      <c r="E108" s="53" t="s">
        <v>150</v>
      </c>
      <c r="F108" s="54" t="s">
        <v>17</v>
      </c>
      <c r="G108" s="55" t="s">
        <v>126</v>
      </c>
      <c r="H108" s="56">
        <v>859865.60000000009</v>
      </c>
      <c r="I108" s="54" t="s">
        <v>23</v>
      </c>
      <c r="J108" s="57">
        <v>42460</v>
      </c>
    </row>
    <row r="109" spans="1:10" ht="51.75" hidden="1">
      <c r="A109" s="51" t="s">
        <v>14</v>
      </c>
      <c r="B109" s="51" t="str">
        <f>"06.520270-ТЭ"</f>
        <v>06.520270-ТЭ</v>
      </c>
      <c r="C109" s="51" t="s">
        <v>43</v>
      </c>
      <c r="D109" s="52"/>
      <c r="E109" s="53" t="s">
        <v>151</v>
      </c>
      <c r="F109" s="54" t="s">
        <v>17</v>
      </c>
      <c r="G109" s="55" t="s">
        <v>40</v>
      </c>
      <c r="H109" s="56">
        <v>702925.51</v>
      </c>
      <c r="I109" s="54" t="s">
        <v>31</v>
      </c>
      <c r="J109" s="57">
        <v>42460</v>
      </c>
    </row>
    <row r="110" spans="1:10" ht="51.75" hidden="1">
      <c r="A110" s="51" t="s">
        <v>14</v>
      </c>
      <c r="B110" s="51" t="str">
        <f>"06.520273-ТЭ"</f>
        <v>06.520273-ТЭ</v>
      </c>
      <c r="C110" s="51" t="s">
        <v>116</v>
      </c>
      <c r="D110" s="52"/>
      <c r="E110" s="53" t="s">
        <v>152</v>
      </c>
      <c r="F110" s="54" t="s">
        <v>17</v>
      </c>
      <c r="G110" s="55" t="s">
        <v>40</v>
      </c>
      <c r="H110" s="56">
        <v>483527.1</v>
      </c>
      <c r="I110" s="54" t="s">
        <v>19</v>
      </c>
      <c r="J110" s="57">
        <v>42460</v>
      </c>
    </row>
    <row r="111" spans="1:10" ht="51.75" hidden="1">
      <c r="A111" s="51" t="s">
        <v>14</v>
      </c>
      <c r="B111" s="51" t="str">
        <f>"06.520276-ТЭ"</f>
        <v>06.520276-ТЭ</v>
      </c>
      <c r="C111" s="51" t="s">
        <v>46</v>
      </c>
      <c r="D111" s="52"/>
      <c r="E111" s="53" t="s">
        <v>153</v>
      </c>
      <c r="F111" s="54" t="s">
        <v>17</v>
      </c>
      <c r="G111" s="55" t="s">
        <v>40</v>
      </c>
      <c r="H111" s="56">
        <v>547077.20000000007</v>
      </c>
      <c r="I111" s="54" t="s">
        <v>23</v>
      </c>
      <c r="J111" s="57">
        <v>42460</v>
      </c>
    </row>
    <row r="112" spans="1:10" ht="51.75" hidden="1">
      <c r="A112" s="51" t="s">
        <v>14</v>
      </c>
      <c r="B112" s="51" t="str">
        <f>"06.520285-ТЭ"</f>
        <v>06.520285-ТЭ</v>
      </c>
      <c r="C112" s="51" t="s">
        <v>46</v>
      </c>
      <c r="D112" s="52"/>
      <c r="E112" s="53" t="s">
        <v>154</v>
      </c>
      <c r="F112" s="54" t="s">
        <v>17</v>
      </c>
      <c r="G112" s="55" t="s">
        <v>40</v>
      </c>
      <c r="H112" s="56">
        <v>74228.62</v>
      </c>
      <c r="I112" s="54" t="s">
        <v>23</v>
      </c>
      <c r="J112" s="57">
        <v>42460</v>
      </c>
    </row>
    <row r="113" spans="1:10" ht="26.25" hidden="1">
      <c r="A113" s="51" t="s">
        <v>14</v>
      </c>
      <c r="B113" s="51" t="str">
        <f>"06.520316-ТЭ"</f>
        <v>06.520316-ТЭ</v>
      </c>
      <c r="C113" s="51" t="s">
        <v>51</v>
      </c>
      <c r="D113" s="52"/>
      <c r="E113" s="53" t="s">
        <v>155</v>
      </c>
      <c r="F113" s="54" t="s">
        <v>17</v>
      </c>
      <c r="G113" s="55" t="s">
        <v>126</v>
      </c>
      <c r="H113" s="56">
        <v>97516.93</v>
      </c>
      <c r="I113" s="54" t="s">
        <v>23</v>
      </c>
      <c r="J113" s="57">
        <v>42460</v>
      </c>
    </row>
    <row r="114" spans="1:10" ht="26.25" hidden="1">
      <c r="A114" s="51" t="s">
        <v>14</v>
      </c>
      <c r="B114" s="51" t="str">
        <f>"06.520319-ТЭ"</f>
        <v>06.520319-ТЭ</v>
      </c>
      <c r="C114" s="51" t="s">
        <v>116</v>
      </c>
      <c r="D114" s="52"/>
      <c r="E114" s="53" t="s">
        <v>156</v>
      </c>
      <c r="F114" s="54" t="s">
        <v>17</v>
      </c>
      <c r="G114" s="55" t="s">
        <v>148</v>
      </c>
      <c r="H114" s="56">
        <v>3864208.2199999997</v>
      </c>
      <c r="I114" s="54" t="s">
        <v>56</v>
      </c>
      <c r="J114" s="57">
        <v>42460</v>
      </c>
    </row>
    <row r="115" spans="1:10" ht="26.25" hidden="1">
      <c r="A115" s="51" t="s">
        <v>14</v>
      </c>
      <c r="B115" s="51" t="str">
        <f>"06.520320-ТЭ"</f>
        <v>06.520320-ТЭ</v>
      </c>
      <c r="C115" s="51" t="s">
        <v>116</v>
      </c>
      <c r="D115" s="52"/>
      <c r="E115" s="53" t="s">
        <v>157</v>
      </c>
      <c r="F115" s="54" t="s">
        <v>17</v>
      </c>
      <c r="G115" s="55" t="s">
        <v>148</v>
      </c>
      <c r="H115" s="56">
        <v>8422103.7799999993</v>
      </c>
      <c r="I115" s="54" t="s">
        <v>158</v>
      </c>
      <c r="J115" s="57">
        <v>42460</v>
      </c>
    </row>
    <row r="116" spans="1:10" ht="26.25" hidden="1">
      <c r="A116" s="51" t="s">
        <v>14</v>
      </c>
      <c r="B116" s="51" t="str">
        <f>"06.520351-ТЭ"</f>
        <v>06.520351-ТЭ</v>
      </c>
      <c r="C116" s="51" t="s">
        <v>109</v>
      </c>
      <c r="D116" s="52"/>
      <c r="E116" s="53" t="s">
        <v>159</v>
      </c>
      <c r="F116" s="54" t="s">
        <v>17</v>
      </c>
      <c r="G116" s="55" t="s">
        <v>148</v>
      </c>
      <c r="H116" s="56">
        <v>3933839.42</v>
      </c>
      <c r="I116" s="54" t="s">
        <v>31</v>
      </c>
      <c r="J116" s="57">
        <v>42460</v>
      </c>
    </row>
    <row r="117" spans="1:10" ht="26.25" hidden="1">
      <c r="A117" s="51" t="s">
        <v>14</v>
      </c>
      <c r="B117" s="51" t="str">
        <f>"06.520351ГВС"</f>
        <v>06.520351ГВС</v>
      </c>
      <c r="C117" s="51" t="s">
        <v>109</v>
      </c>
      <c r="D117" s="52"/>
      <c r="E117" s="53" t="s">
        <v>159</v>
      </c>
      <c r="F117" s="54" t="s">
        <v>17</v>
      </c>
      <c r="G117" s="55" t="s">
        <v>148</v>
      </c>
      <c r="H117" s="56">
        <v>2825223.6</v>
      </c>
      <c r="I117" s="54" t="s">
        <v>68</v>
      </c>
      <c r="J117" s="57">
        <v>42460</v>
      </c>
    </row>
    <row r="118" spans="1:10" ht="26.25" hidden="1">
      <c r="A118" s="51" t="s">
        <v>14</v>
      </c>
      <c r="B118" s="51" t="str">
        <f>"06.520362-ТЭ"</f>
        <v>06.520362-ТЭ</v>
      </c>
      <c r="C118" s="51" t="s">
        <v>160</v>
      </c>
      <c r="D118" s="52"/>
      <c r="E118" s="53" t="s">
        <v>161</v>
      </c>
      <c r="F118" s="54" t="s">
        <v>17</v>
      </c>
      <c r="G118" s="55" t="s">
        <v>126</v>
      </c>
      <c r="H118" s="56">
        <v>266767.2</v>
      </c>
      <c r="I118" s="54" t="s">
        <v>27</v>
      </c>
      <c r="J118" s="57">
        <v>42460</v>
      </c>
    </row>
    <row r="119" spans="1:10" ht="26.25" hidden="1">
      <c r="A119" s="51" t="s">
        <v>14</v>
      </c>
      <c r="B119" s="51" t="str">
        <f>"06.520382-ТЭ"</f>
        <v>06.520382-ТЭ</v>
      </c>
      <c r="C119" s="51" t="s">
        <v>24</v>
      </c>
      <c r="D119" s="52"/>
      <c r="E119" s="53" t="s">
        <v>162</v>
      </c>
      <c r="F119" s="54" t="s">
        <v>17</v>
      </c>
      <c r="G119" s="55" t="s">
        <v>126</v>
      </c>
      <c r="H119" s="56">
        <v>1681379.97</v>
      </c>
      <c r="I119" s="54" t="s">
        <v>33</v>
      </c>
      <c r="J119" s="57">
        <v>42460</v>
      </c>
    </row>
    <row r="120" spans="1:10" ht="39" hidden="1">
      <c r="A120" s="51" t="s">
        <v>14</v>
      </c>
      <c r="B120" s="51" t="str">
        <f>"06.520384-ТЭ"</f>
        <v>06.520384-ТЭ</v>
      </c>
      <c r="C120" s="51" t="s">
        <v>24</v>
      </c>
      <c r="D120" s="52"/>
      <c r="E120" s="53" t="s">
        <v>163</v>
      </c>
      <c r="F120" s="54" t="s">
        <v>17</v>
      </c>
      <c r="G120" s="55" t="s">
        <v>45</v>
      </c>
      <c r="H120" s="56">
        <v>11894191.99</v>
      </c>
      <c r="I120" s="54" t="s">
        <v>164</v>
      </c>
      <c r="J120" s="57">
        <v>42460</v>
      </c>
    </row>
    <row r="121" spans="1:10" ht="39" hidden="1">
      <c r="A121" s="51" t="s">
        <v>14</v>
      </c>
      <c r="B121" s="51" t="str">
        <f>"06.520385-ТЭ"</f>
        <v>06.520385-ТЭ</v>
      </c>
      <c r="C121" s="51" t="s">
        <v>24</v>
      </c>
      <c r="D121" s="52"/>
      <c r="E121" s="53" t="s">
        <v>165</v>
      </c>
      <c r="F121" s="54" t="s">
        <v>17</v>
      </c>
      <c r="G121" s="55" t="s">
        <v>45</v>
      </c>
      <c r="H121" s="56">
        <v>628932.87000000011</v>
      </c>
      <c r="I121" s="54" t="s">
        <v>23</v>
      </c>
      <c r="J121" s="57">
        <v>42460</v>
      </c>
    </row>
    <row r="122" spans="1:10" ht="39" hidden="1">
      <c r="A122" s="51" t="s">
        <v>14</v>
      </c>
      <c r="B122" s="51" t="str">
        <f>"06.520385ГВС"</f>
        <v>06.520385ГВС</v>
      </c>
      <c r="C122" s="51" t="s">
        <v>24</v>
      </c>
      <c r="D122" s="52"/>
      <c r="E122" s="53" t="s">
        <v>165</v>
      </c>
      <c r="F122" s="54" t="s">
        <v>17</v>
      </c>
      <c r="G122" s="55" t="s">
        <v>45</v>
      </c>
      <c r="H122" s="56">
        <v>295866.42000000004</v>
      </c>
      <c r="I122" s="54" t="s">
        <v>23</v>
      </c>
      <c r="J122" s="57">
        <v>42460</v>
      </c>
    </row>
    <row r="123" spans="1:10" ht="26.25" hidden="1">
      <c r="A123" s="51" t="s">
        <v>14</v>
      </c>
      <c r="B123" s="51" t="str">
        <f>"06.520397-ТЭ"</f>
        <v>06.520397-ТЭ</v>
      </c>
      <c r="C123" s="51" t="s">
        <v>166</v>
      </c>
      <c r="D123" s="52"/>
      <c r="E123" s="53" t="s">
        <v>167</v>
      </c>
      <c r="F123" s="54" t="s">
        <v>17</v>
      </c>
      <c r="G123" s="55" t="s">
        <v>126</v>
      </c>
      <c r="H123" s="56">
        <v>222079.29</v>
      </c>
      <c r="I123" s="54" t="s">
        <v>19</v>
      </c>
      <c r="J123" s="57">
        <v>42460</v>
      </c>
    </row>
    <row r="124" spans="1:10" ht="26.25" hidden="1">
      <c r="A124" s="51" t="s">
        <v>14</v>
      </c>
      <c r="B124" s="51" t="str">
        <f>"06.520397ГВС"</f>
        <v>06.520397ГВС</v>
      </c>
      <c r="C124" s="51" t="s">
        <v>166</v>
      </c>
      <c r="D124" s="52"/>
      <c r="E124" s="53" t="s">
        <v>167</v>
      </c>
      <c r="F124" s="54" t="s">
        <v>17</v>
      </c>
      <c r="G124" s="55" t="s">
        <v>126</v>
      </c>
      <c r="H124" s="56">
        <v>45435.760000000009</v>
      </c>
      <c r="I124" s="54" t="s">
        <v>19</v>
      </c>
      <c r="J124" s="57">
        <v>42460</v>
      </c>
    </row>
    <row r="125" spans="1:10" ht="26.25" hidden="1">
      <c r="A125" s="51" t="s">
        <v>14</v>
      </c>
      <c r="B125" s="51" t="str">
        <f>"06.520404-ТЭ"</f>
        <v>06.520404-ТЭ</v>
      </c>
      <c r="C125" s="51" t="s">
        <v>168</v>
      </c>
      <c r="D125" s="52"/>
      <c r="E125" s="53" t="s">
        <v>169</v>
      </c>
      <c r="F125" s="54" t="s">
        <v>17</v>
      </c>
      <c r="G125" s="55" t="s">
        <v>148</v>
      </c>
      <c r="H125" s="56">
        <v>665626.02</v>
      </c>
      <c r="I125" s="54" t="s">
        <v>27</v>
      </c>
      <c r="J125" s="57">
        <v>42460</v>
      </c>
    </row>
    <row r="126" spans="1:10" ht="26.25" hidden="1">
      <c r="A126" s="51" t="s">
        <v>14</v>
      </c>
      <c r="B126" s="51" t="str">
        <f>"06.520404ГВС"</f>
        <v>06.520404ГВС</v>
      </c>
      <c r="C126" s="51" t="s">
        <v>168</v>
      </c>
      <c r="D126" s="52"/>
      <c r="E126" s="53" t="s">
        <v>169</v>
      </c>
      <c r="F126" s="54" t="s">
        <v>17</v>
      </c>
      <c r="G126" s="55" t="s">
        <v>148</v>
      </c>
      <c r="H126" s="56">
        <v>963130.69</v>
      </c>
      <c r="I126" s="54" t="s">
        <v>90</v>
      </c>
      <c r="J126" s="57">
        <v>42460</v>
      </c>
    </row>
    <row r="127" spans="1:10" ht="26.25" hidden="1">
      <c r="A127" s="51" t="s">
        <v>14</v>
      </c>
      <c r="B127" s="51" t="str">
        <f>"06.520419-ТЭ"</f>
        <v>06.520419-ТЭ</v>
      </c>
      <c r="C127" s="51" t="s">
        <v>170</v>
      </c>
      <c r="D127" s="52"/>
      <c r="E127" s="53" t="s">
        <v>171</v>
      </c>
      <c r="F127" s="54" t="s">
        <v>17</v>
      </c>
      <c r="G127" s="55" t="s">
        <v>148</v>
      </c>
      <c r="H127" s="56">
        <v>2028815.3100000003</v>
      </c>
      <c r="I127" s="54" t="s">
        <v>48</v>
      </c>
      <c r="J127" s="57">
        <v>42460</v>
      </c>
    </row>
    <row r="128" spans="1:10" ht="26.25" hidden="1">
      <c r="A128" s="51" t="s">
        <v>14</v>
      </c>
      <c r="B128" s="51" t="str">
        <f>"06.520419ГВС"</f>
        <v>06.520419ГВС</v>
      </c>
      <c r="C128" s="51" t="s">
        <v>170</v>
      </c>
      <c r="D128" s="52"/>
      <c r="E128" s="53" t="s">
        <v>171</v>
      </c>
      <c r="F128" s="54" t="s">
        <v>17</v>
      </c>
      <c r="G128" s="55" t="s">
        <v>148</v>
      </c>
      <c r="H128" s="56">
        <v>727699</v>
      </c>
      <c r="I128" s="54" t="s">
        <v>48</v>
      </c>
      <c r="J128" s="57">
        <v>42460</v>
      </c>
    </row>
    <row r="129" spans="1:10" ht="51.75" hidden="1">
      <c r="A129" s="51" t="s">
        <v>14</v>
      </c>
      <c r="B129" s="51" t="str">
        <f>"06.523010-ТЭ"</f>
        <v>06.523010-ТЭ</v>
      </c>
      <c r="C129" s="51" t="s">
        <v>172</v>
      </c>
      <c r="D129" s="52" t="s">
        <v>173</v>
      </c>
      <c r="E129" s="58" t="s">
        <v>174</v>
      </c>
      <c r="F129" s="54" t="s">
        <v>70</v>
      </c>
      <c r="G129" s="55" t="s">
        <v>26</v>
      </c>
      <c r="H129" s="56">
        <v>39014.800000000003</v>
      </c>
      <c r="I129" s="54" t="s">
        <v>175</v>
      </c>
      <c r="J129" s="54" t="s">
        <v>175</v>
      </c>
    </row>
    <row r="130" spans="1:10" ht="51.75" hidden="1">
      <c r="A130" s="51" t="s">
        <v>14</v>
      </c>
      <c r="B130" s="51" t="str">
        <f>"06.523010ГВС"</f>
        <v>06.523010ГВС</v>
      </c>
      <c r="C130" s="51" t="s">
        <v>176</v>
      </c>
      <c r="D130" s="52" t="s">
        <v>173</v>
      </c>
      <c r="E130" s="58" t="s">
        <v>174</v>
      </c>
      <c r="F130" s="54" t="s">
        <v>70</v>
      </c>
      <c r="G130" s="55" t="s">
        <v>26</v>
      </c>
      <c r="H130" s="56">
        <v>223938.16</v>
      </c>
      <c r="I130" s="54" t="s">
        <v>175</v>
      </c>
      <c r="J130" s="54" t="s">
        <v>173</v>
      </c>
    </row>
    <row r="131" spans="1:10" ht="51.75" hidden="1">
      <c r="A131" s="51" t="s">
        <v>14</v>
      </c>
      <c r="B131" s="51" t="str">
        <f>"06.523011-ТЭ"</f>
        <v>06.523011-ТЭ</v>
      </c>
      <c r="C131" s="51" t="s">
        <v>172</v>
      </c>
      <c r="D131" s="52" t="s">
        <v>173</v>
      </c>
      <c r="E131" s="58" t="s">
        <v>177</v>
      </c>
      <c r="F131" s="54" t="s">
        <v>70</v>
      </c>
      <c r="G131" s="55" t="s">
        <v>26</v>
      </c>
      <c r="H131" s="56">
        <v>99358.38</v>
      </c>
      <c r="I131" s="54" t="s">
        <v>175</v>
      </c>
      <c r="J131" s="54" t="s">
        <v>175</v>
      </c>
    </row>
    <row r="132" spans="1:10" ht="51.75" hidden="1">
      <c r="A132" s="51" t="s">
        <v>14</v>
      </c>
      <c r="B132" s="51" t="str">
        <f>"06.523011ГВС"</f>
        <v>06.523011ГВС</v>
      </c>
      <c r="C132" s="51" t="s">
        <v>178</v>
      </c>
      <c r="D132" s="52" t="s">
        <v>173</v>
      </c>
      <c r="E132" s="58" t="s">
        <v>177</v>
      </c>
      <c r="F132" s="54" t="s">
        <v>70</v>
      </c>
      <c r="G132" s="55" t="s">
        <v>26</v>
      </c>
      <c r="H132" s="56">
        <v>407984.76</v>
      </c>
      <c r="I132" s="54" t="s">
        <v>175</v>
      </c>
      <c r="J132" s="54" t="s">
        <v>173</v>
      </c>
    </row>
    <row r="133" spans="1:10" ht="51.75" hidden="1">
      <c r="A133" s="51" t="s">
        <v>14</v>
      </c>
      <c r="B133" s="51" t="str">
        <f>"06.523021-ТЭ"</f>
        <v>06.523021-ТЭ</v>
      </c>
      <c r="C133" s="51" t="s">
        <v>24</v>
      </c>
      <c r="D133" s="52"/>
      <c r="E133" s="53" t="s">
        <v>179</v>
      </c>
      <c r="F133" s="54" t="s">
        <v>17</v>
      </c>
      <c r="G133" s="55" t="s">
        <v>26</v>
      </c>
      <c r="H133" s="56">
        <v>1472722.85</v>
      </c>
      <c r="I133" s="54" t="s">
        <v>19</v>
      </c>
      <c r="J133" s="57">
        <v>42460</v>
      </c>
    </row>
    <row r="134" spans="1:10" ht="51.75" hidden="1">
      <c r="A134" s="51" t="s">
        <v>14</v>
      </c>
      <c r="B134" s="51" t="str">
        <f>"06.523021ГВС"</f>
        <v>06.523021ГВС</v>
      </c>
      <c r="C134" s="51" t="s">
        <v>24</v>
      </c>
      <c r="D134" s="52"/>
      <c r="E134" s="53" t="s">
        <v>179</v>
      </c>
      <c r="F134" s="54" t="s">
        <v>17</v>
      </c>
      <c r="G134" s="55" t="s">
        <v>26</v>
      </c>
      <c r="H134" s="56">
        <v>486546.6100000001</v>
      </c>
      <c r="I134" s="54" t="s">
        <v>19</v>
      </c>
      <c r="J134" s="57">
        <v>42460</v>
      </c>
    </row>
    <row r="135" spans="1:10" ht="51.75" hidden="1">
      <c r="A135" s="51" t="s">
        <v>14</v>
      </c>
      <c r="B135" s="51" t="str">
        <f>"06.523031-ТЭ"</f>
        <v>06.523031-ТЭ</v>
      </c>
      <c r="C135" s="51" t="s">
        <v>24</v>
      </c>
      <c r="D135" s="52"/>
      <c r="E135" s="53" t="s">
        <v>180</v>
      </c>
      <c r="F135" s="54" t="s">
        <v>17</v>
      </c>
      <c r="G135" s="55" t="s">
        <v>26</v>
      </c>
      <c r="H135" s="56">
        <v>1140723.23</v>
      </c>
      <c r="I135" s="54" t="s">
        <v>19</v>
      </c>
      <c r="J135" s="57">
        <v>42460</v>
      </c>
    </row>
    <row r="136" spans="1:10" ht="51.75" hidden="1">
      <c r="A136" s="51" t="s">
        <v>14</v>
      </c>
      <c r="B136" s="51" t="str">
        <f>"06.523039-ТЭ"</f>
        <v>06.523039-ТЭ</v>
      </c>
      <c r="C136" s="51" t="s">
        <v>24</v>
      </c>
      <c r="D136" s="52"/>
      <c r="E136" s="53" t="s">
        <v>181</v>
      </c>
      <c r="F136" s="54" t="s">
        <v>17</v>
      </c>
      <c r="G136" s="55" t="s">
        <v>26</v>
      </c>
      <c r="H136" s="56">
        <v>1879378.12</v>
      </c>
      <c r="I136" s="54" t="s">
        <v>182</v>
      </c>
      <c r="J136" s="57">
        <v>42460</v>
      </c>
    </row>
    <row r="137" spans="1:10" ht="51.75" hidden="1">
      <c r="A137" s="51" t="s">
        <v>14</v>
      </c>
      <c r="B137" s="51" t="str">
        <f>"06.523039ГВС"</f>
        <v>06.523039ГВС</v>
      </c>
      <c r="C137" s="51" t="s">
        <v>24</v>
      </c>
      <c r="D137" s="52"/>
      <c r="E137" s="53" t="s">
        <v>181</v>
      </c>
      <c r="F137" s="54" t="s">
        <v>17</v>
      </c>
      <c r="G137" s="55" t="s">
        <v>26</v>
      </c>
      <c r="H137" s="56">
        <v>566626.68999999994</v>
      </c>
      <c r="I137" s="54" t="s">
        <v>31</v>
      </c>
      <c r="J137" s="57">
        <v>42460</v>
      </c>
    </row>
    <row r="138" spans="1:10" ht="51.75" hidden="1">
      <c r="A138" s="51" t="s">
        <v>14</v>
      </c>
      <c r="B138" s="51" t="str">
        <f>"06.523040-ТЭ"</f>
        <v>06.523040-ТЭ</v>
      </c>
      <c r="C138" s="51" t="s">
        <v>24</v>
      </c>
      <c r="D138" s="52"/>
      <c r="E138" s="53" t="s">
        <v>183</v>
      </c>
      <c r="F138" s="54" t="s">
        <v>17</v>
      </c>
      <c r="G138" s="55" t="s">
        <v>26</v>
      </c>
      <c r="H138" s="56">
        <v>801090.68</v>
      </c>
      <c r="I138" s="54" t="s">
        <v>27</v>
      </c>
      <c r="J138" s="57">
        <v>42460</v>
      </c>
    </row>
    <row r="139" spans="1:10" ht="51.75" hidden="1">
      <c r="A139" s="51" t="s">
        <v>14</v>
      </c>
      <c r="B139" s="51" t="str">
        <f>"06.523040ГВС"</f>
        <v>06.523040ГВС</v>
      </c>
      <c r="C139" s="51" t="s">
        <v>24</v>
      </c>
      <c r="D139" s="52"/>
      <c r="E139" s="53" t="s">
        <v>183</v>
      </c>
      <c r="F139" s="54" t="s">
        <v>17</v>
      </c>
      <c r="G139" s="55" t="s">
        <v>26</v>
      </c>
      <c r="H139" s="56">
        <v>209808.04</v>
      </c>
      <c r="I139" s="54" t="s">
        <v>27</v>
      </c>
      <c r="J139" s="57">
        <v>42460</v>
      </c>
    </row>
    <row r="140" spans="1:10" ht="51.75" hidden="1">
      <c r="A140" s="51" t="s">
        <v>14</v>
      </c>
      <c r="B140" s="51" t="str">
        <f>"06.523041-ТЭ"</f>
        <v>06.523041-ТЭ</v>
      </c>
      <c r="C140" s="51" t="s">
        <v>24</v>
      </c>
      <c r="D140" s="52"/>
      <c r="E140" s="53" t="s">
        <v>184</v>
      </c>
      <c r="F140" s="54" t="s">
        <v>17</v>
      </c>
      <c r="G140" s="55" t="s">
        <v>26</v>
      </c>
      <c r="H140" s="56">
        <v>8690789.8600000013</v>
      </c>
      <c r="I140" s="54" t="s">
        <v>33</v>
      </c>
      <c r="J140" s="57">
        <v>42460</v>
      </c>
    </row>
    <row r="141" spans="1:10" ht="51.75" hidden="1">
      <c r="A141" s="51" t="s">
        <v>14</v>
      </c>
      <c r="B141" s="51" t="str">
        <f>"06.523041ГВС"</f>
        <v>06.523041ГВС</v>
      </c>
      <c r="C141" s="51" t="s">
        <v>24</v>
      </c>
      <c r="D141" s="52"/>
      <c r="E141" s="53" t="s">
        <v>184</v>
      </c>
      <c r="F141" s="54" t="s">
        <v>17</v>
      </c>
      <c r="G141" s="55" t="s">
        <v>26</v>
      </c>
      <c r="H141" s="56">
        <v>1273331.6199999999</v>
      </c>
      <c r="I141" s="54" t="s">
        <v>27</v>
      </c>
      <c r="J141" s="57">
        <v>42460</v>
      </c>
    </row>
    <row r="142" spans="1:10" ht="51.75" hidden="1">
      <c r="A142" s="51" t="s">
        <v>14</v>
      </c>
      <c r="B142" s="51" t="str">
        <f>"06.523443-ТЭ"</f>
        <v>06.523443-ТЭ</v>
      </c>
      <c r="C142" s="51" t="s">
        <v>185</v>
      </c>
      <c r="D142" s="52"/>
      <c r="E142" s="53" t="s">
        <v>186</v>
      </c>
      <c r="F142" s="54" t="s">
        <v>17</v>
      </c>
      <c r="G142" s="55" t="s">
        <v>26</v>
      </c>
      <c r="H142" s="56">
        <v>412590.17999999993</v>
      </c>
      <c r="I142" s="54" t="s">
        <v>19</v>
      </c>
      <c r="J142" s="57">
        <v>42460</v>
      </c>
    </row>
    <row r="143" spans="1:10" ht="26.25">
      <c r="A143" s="51" t="s">
        <v>14</v>
      </c>
      <c r="B143" s="51" t="str">
        <f>"06.530022-ТЭ"</f>
        <v>06.530022-ТЭ</v>
      </c>
      <c r="C143" s="51" t="s">
        <v>51</v>
      </c>
      <c r="D143" s="52"/>
      <c r="E143" s="53" t="s">
        <v>187</v>
      </c>
      <c r="F143" s="54" t="s">
        <v>17</v>
      </c>
      <c r="G143" s="55" t="s">
        <v>18</v>
      </c>
      <c r="H143" s="56">
        <v>3857137.66</v>
      </c>
      <c r="I143" s="54" t="s">
        <v>158</v>
      </c>
      <c r="J143" s="57">
        <v>42460</v>
      </c>
    </row>
    <row r="144" spans="1:10" ht="26.25" hidden="1">
      <c r="A144" s="51" t="s">
        <v>14</v>
      </c>
      <c r="B144" s="51" t="str">
        <f>"06.530029-ТЭ"</f>
        <v>06.530029-ТЭ</v>
      </c>
      <c r="C144" s="51" t="s">
        <v>58</v>
      </c>
      <c r="D144" s="52"/>
      <c r="E144" s="53" t="s">
        <v>188</v>
      </c>
      <c r="F144" s="54" t="s">
        <v>17</v>
      </c>
      <c r="G144" s="55" t="s">
        <v>189</v>
      </c>
      <c r="H144" s="56">
        <v>1227.3999999999942</v>
      </c>
      <c r="I144" s="54" t="s">
        <v>23</v>
      </c>
      <c r="J144" s="57">
        <v>42460</v>
      </c>
    </row>
    <row r="145" spans="1:10" ht="26.25" hidden="1">
      <c r="A145" s="51" t="s">
        <v>14</v>
      </c>
      <c r="B145" s="51" t="str">
        <f>"06.530029ГВС"</f>
        <v>06.530029ГВС</v>
      </c>
      <c r="C145" s="51" t="s">
        <v>58</v>
      </c>
      <c r="D145" s="52"/>
      <c r="E145" s="53" t="s">
        <v>188</v>
      </c>
      <c r="F145" s="54" t="s">
        <v>17</v>
      </c>
      <c r="G145" s="55" t="s">
        <v>189</v>
      </c>
      <c r="H145" s="56">
        <v>7014.2599999999802</v>
      </c>
      <c r="I145" s="54" t="s">
        <v>23</v>
      </c>
      <c r="J145" s="57">
        <v>42460</v>
      </c>
    </row>
    <row r="146" spans="1:10" ht="26.25" hidden="1">
      <c r="A146" s="51" t="s">
        <v>14</v>
      </c>
      <c r="B146" s="51" t="str">
        <f>"06.530157-ТЭ"</f>
        <v>06.530157-ТЭ</v>
      </c>
      <c r="C146" s="51" t="s">
        <v>190</v>
      </c>
      <c r="D146" s="52"/>
      <c r="E146" s="53" t="s">
        <v>191</v>
      </c>
      <c r="F146" s="54" t="s">
        <v>17</v>
      </c>
      <c r="G146" s="55" t="s">
        <v>189</v>
      </c>
      <c r="H146" s="56">
        <v>517937.32999999996</v>
      </c>
      <c r="I146" s="54" t="s">
        <v>19</v>
      </c>
      <c r="J146" s="57">
        <v>42460</v>
      </c>
    </row>
    <row r="147" spans="1:10" ht="26.25" hidden="1">
      <c r="A147" s="51" t="s">
        <v>14</v>
      </c>
      <c r="B147" s="51" t="str">
        <f>"06.530157ГВС"</f>
        <v>06.530157ГВС</v>
      </c>
      <c r="C147" s="51" t="s">
        <v>190</v>
      </c>
      <c r="D147" s="52"/>
      <c r="E147" s="53" t="s">
        <v>191</v>
      </c>
      <c r="F147" s="54" t="s">
        <v>17</v>
      </c>
      <c r="G147" s="55" t="s">
        <v>189</v>
      </c>
      <c r="H147" s="56">
        <v>178494.18</v>
      </c>
      <c r="I147" s="54" t="s">
        <v>23</v>
      </c>
      <c r="J147" s="57">
        <v>42460</v>
      </c>
    </row>
    <row r="148" spans="1:10" ht="39" hidden="1">
      <c r="A148" s="51" t="s">
        <v>14</v>
      </c>
      <c r="B148" s="51" t="str">
        <f>"06.530238-ТЭ"</f>
        <v>06.530238-ТЭ</v>
      </c>
      <c r="C148" s="51" t="s">
        <v>24</v>
      </c>
      <c r="D148" s="52"/>
      <c r="E148" s="53" t="s">
        <v>192</v>
      </c>
      <c r="F148" s="54" t="s">
        <v>17</v>
      </c>
      <c r="G148" s="55" t="s">
        <v>193</v>
      </c>
      <c r="H148" s="56">
        <v>2072157.4600000002</v>
      </c>
      <c r="I148" s="54" t="s">
        <v>84</v>
      </c>
      <c r="J148" s="57">
        <v>42460</v>
      </c>
    </row>
    <row r="149" spans="1:10" ht="39" hidden="1">
      <c r="A149" s="51" t="s">
        <v>14</v>
      </c>
      <c r="B149" s="51" t="str">
        <f>"06.530238ГВС"</f>
        <v>06.530238ГВС</v>
      </c>
      <c r="C149" s="51" t="s">
        <v>24</v>
      </c>
      <c r="D149" s="52"/>
      <c r="E149" s="53" t="s">
        <v>192</v>
      </c>
      <c r="F149" s="54" t="s">
        <v>17</v>
      </c>
      <c r="G149" s="55" t="s">
        <v>193</v>
      </c>
      <c r="H149" s="56">
        <v>545067.78</v>
      </c>
      <c r="I149" s="54" t="s">
        <v>31</v>
      </c>
      <c r="J149" s="57">
        <v>42460</v>
      </c>
    </row>
    <row r="150" spans="1:10" ht="39" hidden="1">
      <c r="A150" s="51" t="s">
        <v>14</v>
      </c>
      <c r="B150" s="51" t="str">
        <f>"06.530239-ТЭ"</f>
        <v>06.530239-ТЭ</v>
      </c>
      <c r="C150" s="51" t="s">
        <v>24</v>
      </c>
      <c r="D150" s="52"/>
      <c r="E150" s="53" t="s">
        <v>192</v>
      </c>
      <c r="F150" s="54" t="s">
        <v>17</v>
      </c>
      <c r="G150" s="55" t="s">
        <v>193</v>
      </c>
      <c r="H150" s="56">
        <v>1397983.76</v>
      </c>
      <c r="I150" s="54" t="s">
        <v>31</v>
      </c>
      <c r="J150" s="57">
        <v>42460</v>
      </c>
    </row>
    <row r="151" spans="1:10" ht="39" hidden="1">
      <c r="A151" s="51" t="s">
        <v>14</v>
      </c>
      <c r="B151" s="51" t="str">
        <f>"06.530239ГВС"</f>
        <v>06.530239ГВС</v>
      </c>
      <c r="C151" s="51" t="s">
        <v>24</v>
      </c>
      <c r="D151" s="52"/>
      <c r="E151" s="53" t="s">
        <v>192</v>
      </c>
      <c r="F151" s="54" t="s">
        <v>17</v>
      </c>
      <c r="G151" s="55" t="s">
        <v>193</v>
      </c>
      <c r="H151" s="56">
        <v>354262.44</v>
      </c>
      <c r="I151" s="54" t="s">
        <v>27</v>
      </c>
      <c r="J151" s="57">
        <v>42460</v>
      </c>
    </row>
    <row r="152" spans="1:10" ht="26.25">
      <c r="A152" s="51" t="s">
        <v>14</v>
      </c>
      <c r="B152" s="51" t="str">
        <f>"06.530325ГВС"</f>
        <v>06.530325ГВС</v>
      </c>
      <c r="C152" s="51" t="s">
        <v>24</v>
      </c>
      <c r="D152" s="52"/>
      <c r="E152" s="53" t="s">
        <v>194</v>
      </c>
      <c r="F152" s="54" t="s">
        <v>17</v>
      </c>
      <c r="G152" s="55" t="s">
        <v>18</v>
      </c>
      <c r="H152" s="56">
        <v>15830.260000000009</v>
      </c>
      <c r="I152" s="54" t="s">
        <v>23</v>
      </c>
      <c r="J152" s="57">
        <v>42460</v>
      </c>
    </row>
    <row r="153" spans="1:10" ht="26.25" hidden="1">
      <c r="A153" s="51" t="s">
        <v>14</v>
      </c>
      <c r="B153" s="51" t="str">
        <f>"06.540034-ТЭ"</f>
        <v>06.540034-ТЭ</v>
      </c>
      <c r="C153" s="51" t="s">
        <v>24</v>
      </c>
      <c r="D153" s="52"/>
      <c r="E153" s="53" t="s">
        <v>195</v>
      </c>
      <c r="F153" s="54" t="s">
        <v>17</v>
      </c>
      <c r="G153" s="55" t="s">
        <v>97</v>
      </c>
      <c r="H153" s="56">
        <v>916647.73</v>
      </c>
      <c r="I153" s="54" t="s">
        <v>33</v>
      </c>
      <c r="J153" s="57">
        <v>42460</v>
      </c>
    </row>
    <row r="154" spans="1:10" ht="26.25" hidden="1">
      <c r="A154" s="51" t="s">
        <v>14</v>
      </c>
      <c r="B154" s="51" t="str">
        <f>"06.540041-ТЭ"</f>
        <v>06.540041-ТЭ</v>
      </c>
      <c r="C154" s="51" t="s">
        <v>196</v>
      </c>
      <c r="D154" s="52" t="s">
        <v>31</v>
      </c>
      <c r="E154" s="58" t="s">
        <v>197</v>
      </c>
      <c r="F154" s="54" t="s">
        <v>70</v>
      </c>
      <c r="G154" s="55" t="s">
        <v>97</v>
      </c>
      <c r="H154" s="56">
        <v>1847496.19</v>
      </c>
      <c r="I154" s="54" t="s">
        <v>90</v>
      </c>
      <c r="J154" s="54" t="s">
        <v>31</v>
      </c>
    </row>
    <row r="155" spans="1:10" ht="26.25" hidden="1">
      <c r="A155" s="51" t="s">
        <v>14</v>
      </c>
      <c r="B155" s="51" t="str">
        <f>"06.541030-ТЭ"</f>
        <v>06.541030-ТЭ</v>
      </c>
      <c r="C155" s="51" t="s">
        <v>24</v>
      </c>
      <c r="D155" s="52"/>
      <c r="E155" s="53" t="s">
        <v>198</v>
      </c>
      <c r="F155" s="54" t="s">
        <v>17</v>
      </c>
      <c r="G155" s="55" t="s">
        <v>199</v>
      </c>
      <c r="H155" s="56">
        <v>1465549.22</v>
      </c>
      <c r="I155" s="54" t="s">
        <v>90</v>
      </c>
      <c r="J155" s="57">
        <v>42460</v>
      </c>
    </row>
    <row r="156" spans="1:10" ht="26.25" hidden="1">
      <c r="A156" s="51" t="s">
        <v>14</v>
      </c>
      <c r="B156" s="51" t="str">
        <f>"06.541033-ТЭ"</f>
        <v>06.541033-ТЭ</v>
      </c>
      <c r="C156" s="51" t="s">
        <v>24</v>
      </c>
      <c r="D156" s="52"/>
      <c r="E156" s="53" t="s">
        <v>200</v>
      </c>
      <c r="F156" s="54" t="s">
        <v>17</v>
      </c>
      <c r="G156" s="55" t="s">
        <v>199</v>
      </c>
      <c r="H156" s="56">
        <v>247277.83000000002</v>
      </c>
      <c r="I156" s="54" t="s">
        <v>48</v>
      </c>
      <c r="J156" s="57">
        <v>42460</v>
      </c>
    </row>
    <row r="157" spans="1:10" ht="26.25" hidden="1">
      <c r="A157" s="51" t="s">
        <v>14</v>
      </c>
      <c r="B157" s="51" t="str">
        <f>"06.541034-ТЭ"</f>
        <v>06.541034-ТЭ</v>
      </c>
      <c r="C157" s="51" t="s">
        <v>201</v>
      </c>
      <c r="D157" s="52"/>
      <c r="E157" s="53" t="s">
        <v>202</v>
      </c>
      <c r="F157" s="54" t="s">
        <v>17</v>
      </c>
      <c r="G157" s="55" t="s">
        <v>199</v>
      </c>
      <c r="H157" s="56">
        <v>73679.969999999972</v>
      </c>
      <c r="I157" s="54" t="s">
        <v>23</v>
      </c>
      <c r="J157" s="57">
        <v>42460</v>
      </c>
    </row>
    <row r="158" spans="1:10" ht="26.25" hidden="1">
      <c r="A158" s="51" t="s">
        <v>14</v>
      </c>
      <c r="B158" s="51" t="str">
        <f>"06.541035-ТЭ"</f>
        <v>06.541035-ТЭ</v>
      </c>
      <c r="C158" s="51" t="s">
        <v>79</v>
      </c>
      <c r="D158" s="52"/>
      <c r="E158" s="53" t="s">
        <v>203</v>
      </c>
      <c r="F158" s="54" t="s">
        <v>17</v>
      </c>
      <c r="G158" s="55" t="s">
        <v>199</v>
      </c>
      <c r="H158" s="56">
        <v>76208.469999999972</v>
      </c>
      <c r="I158" s="54" t="s">
        <v>31</v>
      </c>
      <c r="J158" s="57">
        <v>42460</v>
      </c>
    </row>
    <row r="159" spans="1:10" ht="26.25" hidden="1">
      <c r="A159" s="51" t="s">
        <v>14</v>
      </c>
      <c r="B159" s="51" t="str">
        <f>"06.541042-ТЭ"</f>
        <v>06.541042-ТЭ</v>
      </c>
      <c r="C159" s="51" t="s">
        <v>204</v>
      </c>
      <c r="D159" s="52"/>
      <c r="E159" s="53" t="s">
        <v>205</v>
      </c>
      <c r="F159" s="54" t="s">
        <v>17</v>
      </c>
      <c r="G159" s="55" t="s">
        <v>199</v>
      </c>
      <c r="H159" s="56">
        <v>1096994.3799999999</v>
      </c>
      <c r="I159" s="54" t="s">
        <v>206</v>
      </c>
      <c r="J159" s="57">
        <v>42460</v>
      </c>
    </row>
    <row r="160" spans="1:10" ht="26.25" hidden="1">
      <c r="A160" s="51" t="s">
        <v>14</v>
      </c>
      <c r="B160" s="51" t="str">
        <f>"06.541045-ТЭ"</f>
        <v>06.541045-ТЭ</v>
      </c>
      <c r="C160" s="51" t="s">
        <v>207</v>
      </c>
      <c r="D160" s="52"/>
      <c r="E160" s="53" t="s">
        <v>208</v>
      </c>
      <c r="F160" s="54" t="s">
        <v>17</v>
      </c>
      <c r="G160" s="55" t="s">
        <v>199</v>
      </c>
      <c r="H160" s="56">
        <v>1582475.3899999997</v>
      </c>
      <c r="I160" s="54" t="s">
        <v>141</v>
      </c>
      <c r="J160" s="57">
        <v>42460</v>
      </c>
    </row>
    <row r="161" spans="1:10" ht="51.75" hidden="1">
      <c r="A161" s="51" t="s">
        <v>14</v>
      </c>
      <c r="B161" s="51" t="str">
        <f>"06.541046-ТЭ"</f>
        <v>06.541046-ТЭ</v>
      </c>
      <c r="C161" s="51" t="s">
        <v>95</v>
      </c>
      <c r="D161" s="52"/>
      <c r="E161" s="53" t="s">
        <v>209</v>
      </c>
      <c r="F161" s="54" t="s">
        <v>17</v>
      </c>
      <c r="G161" s="55" t="s">
        <v>210</v>
      </c>
      <c r="H161" s="56">
        <v>225927.90000000014</v>
      </c>
      <c r="I161" s="54" t="s">
        <v>19</v>
      </c>
      <c r="J161" s="57">
        <v>42460</v>
      </c>
    </row>
    <row r="162" spans="1:10" ht="26.25" hidden="1">
      <c r="A162" s="51" t="s">
        <v>14</v>
      </c>
      <c r="B162" s="51" t="str">
        <f>"06.544006-ТЭ"</f>
        <v>06.544006-ТЭ</v>
      </c>
      <c r="C162" s="51" t="s">
        <v>58</v>
      </c>
      <c r="D162" s="52"/>
      <c r="E162" s="53" t="s">
        <v>211</v>
      </c>
      <c r="F162" s="54" t="s">
        <v>17</v>
      </c>
      <c r="G162" s="55" t="s">
        <v>189</v>
      </c>
      <c r="H162" s="56">
        <v>593698.17999999993</v>
      </c>
      <c r="I162" s="54" t="s">
        <v>23</v>
      </c>
      <c r="J162" s="57">
        <v>42460</v>
      </c>
    </row>
    <row r="163" spans="1:10" ht="26.25" hidden="1">
      <c r="A163" s="51" t="s">
        <v>14</v>
      </c>
      <c r="B163" s="51" t="str">
        <f>"06.544020-ТЭ"</f>
        <v>06.544020-ТЭ</v>
      </c>
      <c r="C163" s="51" t="s">
        <v>43</v>
      </c>
      <c r="D163" s="52"/>
      <c r="E163" s="53" t="s">
        <v>212</v>
      </c>
      <c r="F163" s="54" t="s">
        <v>17</v>
      </c>
      <c r="G163" s="55" t="s">
        <v>189</v>
      </c>
      <c r="H163" s="56">
        <v>155685.1</v>
      </c>
      <c r="I163" s="54" t="s">
        <v>23</v>
      </c>
      <c r="J163" s="57">
        <v>42460</v>
      </c>
    </row>
    <row r="164" spans="1:10" ht="26.25" hidden="1">
      <c r="A164" s="51" t="s">
        <v>14</v>
      </c>
      <c r="B164" s="51" t="str">
        <f>"06.544023-ТЭ"</f>
        <v>06.544023-ТЭ</v>
      </c>
      <c r="C164" s="51" t="s">
        <v>116</v>
      </c>
      <c r="D164" s="52"/>
      <c r="E164" s="53" t="s">
        <v>213</v>
      </c>
      <c r="F164" s="54" t="s">
        <v>17</v>
      </c>
      <c r="G164" s="55" t="s">
        <v>189</v>
      </c>
      <c r="H164" s="56">
        <v>152387.29999999999</v>
      </c>
      <c r="I164" s="54" t="s">
        <v>28</v>
      </c>
      <c r="J164" s="57">
        <v>42460</v>
      </c>
    </row>
    <row r="165" spans="1:10" ht="26.25" hidden="1">
      <c r="A165" s="51" t="s">
        <v>14</v>
      </c>
      <c r="B165" s="51" t="str">
        <f>"06.544025-ТЭ"</f>
        <v>06.544025-ТЭ</v>
      </c>
      <c r="C165" s="51" t="s">
        <v>43</v>
      </c>
      <c r="D165" s="52"/>
      <c r="E165" s="53" t="s">
        <v>214</v>
      </c>
      <c r="F165" s="54" t="s">
        <v>17</v>
      </c>
      <c r="G165" s="55" t="s">
        <v>189</v>
      </c>
      <c r="H165" s="56">
        <v>115819.32</v>
      </c>
      <c r="I165" s="54" t="s">
        <v>23</v>
      </c>
      <c r="J165" s="57">
        <v>42460</v>
      </c>
    </row>
    <row r="166" spans="1:10" ht="26.25" hidden="1">
      <c r="A166" s="51" t="s">
        <v>14</v>
      </c>
      <c r="B166" s="51" t="str">
        <f>"06.544029-ТЭ"</f>
        <v>06.544029-ТЭ</v>
      </c>
      <c r="C166" s="51" t="s">
        <v>43</v>
      </c>
      <c r="D166" s="52"/>
      <c r="E166" s="53" t="s">
        <v>215</v>
      </c>
      <c r="F166" s="54" t="s">
        <v>17</v>
      </c>
      <c r="G166" s="55" t="s">
        <v>189</v>
      </c>
      <c r="H166" s="56">
        <v>833859.69</v>
      </c>
      <c r="I166" s="54" t="s">
        <v>31</v>
      </c>
      <c r="J166" s="57">
        <v>42460</v>
      </c>
    </row>
    <row r="167" spans="1:10" ht="26.25" hidden="1">
      <c r="A167" s="51" t="s">
        <v>14</v>
      </c>
      <c r="B167" s="51" t="str">
        <f>"06.544032ГВС"</f>
        <v>06.544032ГВС</v>
      </c>
      <c r="C167" s="51" t="s">
        <v>204</v>
      </c>
      <c r="D167" s="52"/>
      <c r="E167" s="53" t="s">
        <v>216</v>
      </c>
      <c r="F167" s="54" t="s">
        <v>17</v>
      </c>
      <c r="G167" s="55" t="s">
        <v>189</v>
      </c>
      <c r="H167" s="56">
        <v>1.0000000002037268E-2</v>
      </c>
      <c r="I167" s="54" t="s">
        <v>115</v>
      </c>
      <c r="J167" s="57">
        <v>42460</v>
      </c>
    </row>
    <row r="168" spans="1:10" ht="39" hidden="1">
      <c r="A168" s="51" t="s">
        <v>14</v>
      </c>
      <c r="B168" s="51" t="str">
        <f>"06.544206-ТЭ"</f>
        <v>06.544206-ТЭ</v>
      </c>
      <c r="C168" s="51" t="s">
        <v>201</v>
      </c>
      <c r="D168" s="52"/>
      <c r="E168" s="53" t="s">
        <v>217</v>
      </c>
      <c r="F168" s="54" t="s">
        <v>17</v>
      </c>
      <c r="G168" s="55" t="s">
        <v>189</v>
      </c>
      <c r="H168" s="56">
        <v>515411.48</v>
      </c>
      <c r="I168" s="54" t="s">
        <v>19</v>
      </c>
      <c r="J168" s="57">
        <v>42460</v>
      </c>
    </row>
    <row r="169" spans="1:10" ht="26.25" hidden="1">
      <c r="A169" s="51" t="s">
        <v>14</v>
      </c>
      <c r="B169" s="51" t="str">
        <f>"06.544208-ТЭ"</f>
        <v>06.544208-ТЭ</v>
      </c>
      <c r="C169" s="51" t="s">
        <v>218</v>
      </c>
      <c r="D169" s="52"/>
      <c r="E169" s="53" t="s">
        <v>219</v>
      </c>
      <c r="F169" s="54" t="s">
        <v>17</v>
      </c>
      <c r="G169" s="55" t="s">
        <v>189</v>
      </c>
      <c r="H169" s="56">
        <v>943993.6399999999</v>
      </c>
      <c r="I169" s="54" t="s">
        <v>90</v>
      </c>
      <c r="J169" s="57">
        <v>42460</v>
      </c>
    </row>
    <row r="170" spans="1:10" ht="51.75" hidden="1">
      <c r="A170" s="51" t="s">
        <v>14</v>
      </c>
      <c r="B170" s="51" t="str">
        <f>"06.545026-ТЭ"</f>
        <v>06.545026-ТЭ</v>
      </c>
      <c r="C170" s="51" t="s">
        <v>43</v>
      </c>
      <c r="D170" s="52"/>
      <c r="E170" s="53" t="s">
        <v>220</v>
      </c>
      <c r="F170" s="54" t="s">
        <v>17</v>
      </c>
      <c r="G170" s="55" t="s">
        <v>210</v>
      </c>
      <c r="H170" s="56">
        <v>300000</v>
      </c>
      <c r="I170" s="54" t="s">
        <v>23</v>
      </c>
      <c r="J170" s="57">
        <v>42460</v>
      </c>
    </row>
    <row r="171" spans="1:10" ht="51.75" hidden="1">
      <c r="A171" s="51" t="s">
        <v>14</v>
      </c>
      <c r="B171" s="51" t="str">
        <f>"06.545028-ГВ"</f>
        <v>06.545028-ГВ</v>
      </c>
      <c r="C171" s="51" t="s">
        <v>221</v>
      </c>
      <c r="D171" s="52"/>
      <c r="E171" s="53" t="s">
        <v>222</v>
      </c>
      <c r="F171" s="54" t="s">
        <v>17</v>
      </c>
      <c r="G171" s="55" t="s">
        <v>223</v>
      </c>
      <c r="H171" s="56">
        <v>207753.69999999998</v>
      </c>
      <c r="I171" s="54" t="s">
        <v>23</v>
      </c>
      <c r="J171" s="57">
        <v>42460</v>
      </c>
    </row>
    <row r="172" spans="1:10" ht="51.75" hidden="1">
      <c r="A172" s="51" t="s">
        <v>14</v>
      </c>
      <c r="B172" s="51" t="str">
        <f>"06.545028-ТЭ"</f>
        <v>06.545028-ТЭ</v>
      </c>
      <c r="C172" s="51" t="s">
        <v>224</v>
      </c>
      <c r="D172" s="52"/>
      <c r="E172" s="53" t="s">
        <v>222</v>
      </c>
      <c r="F172" s="54" t="s">
        <v>17</v>
      </c>
      <c r="G172" s="55" t="s">
        <v>223</v>
      </c>
      <c r="H172" s="56">
        <v>1583316.86</v>
      </c>
      <c r="I172" s="54" t="s">
        <v>28</v>
      </c>
      <c r="J172" s="57">
        <v>42460</v>
      </c>
    </row>
    <row r="173" spans="1:10" ht="51.75" hidden="1">
      <c r="A173" s="51" t="s">
        <v>14</v>
      </c>
      <c r="B173" s="51" t="str">
        <f>"06.545029-ТЭ"</f>
        <v>06.545029-ТЭ</v>
      </c>
      <c r="C173" s="51" t="s">
        <v>224</v>
      </c>
      <c r="D173" s="52"/>
      <c r="E173" s="53" t="s">
        <v>225</v>
      </c>
      <c r="F173" s="54" t="s">
        <v>17</v>
      </c>
      <c r="G173" s="55" t="s">
        <v>223</v>
      </c>
      <c r="H173" s="56">
        <v>2168871.17</v>
      </c>
      <c r="I173" s="54" t="s">
        <v>182</v>
      </c>
      <c r="J173" s="57">
        <v>42460</v>
      </c>
    </row>
    <row r="174" spans="1:10" ht="51.75" hidden="1">
      <c r="A174" s="51" t="s">
        <v>14</v>
      </c>
      <c r="B174" s="51" t="str">
        <f>"06.545032-ГВ"</f>
        <v>06.545032-ГВ</v>
      </c>
      <c r="C174" s="51" t="s">
        <v>221</v>
      </c>
      <c r="D174" s="52"/>
      <c r="E174" s="53" t="s">
        <v>226</v>
      </c>
      <c r="F174" s="54" t="s">
        <v>17</v>
      </c>
      <c r="G174" s="55" t="s">
        <v>223</v>
      </c>
      <c r="H174" s="56">
        <v>99999.999999999985</v>
      </c>
      <c r="I174" s="54" t="s">
        <v>19</v>
      </c>
      <c r="J174" s="57">
        <v>42460</v>
      </c>
    </row>
    <row r="175" spans="1:10" ht="51.75" hidden="1">
      <c r="A175" s="51" t="s">
        <v>14</v>
      </c>
      <c r="B175" s="51" t="str">
        <f>"06.545032-ТЭ"</f>
        <v>06.545032-ТЭ</v>
      </c>
      <c r="C175" s="51" t="s">
        <v>224</v>
      </c>
      <c r="D175" s="52"/>
      <c r="E175" s="53" t="s">
        <v>226</v>
      </c>
      <c r="F175" s="54" t="s">
        <v>17</v>
      </c>
      <c r="G175" s="55" t="s">
        <v>223</v>
      </c>
      <c r="H175" s="56">
        <v>249999.99999999997</v>
      </c>
      <c r="I175" s="54" t="s">
        <v>19</v>
      </c>
      <c r="J175" s="57">
        <v>42460</v>
      </c>
    </row>
    <row r="176" spans="1:10" ht="51.75" hidden="1">
      <c r="A176" s="51" t="s">
        <v>14</v>
      </c>
      <c r="B176" s="51" t="str">
        <f>"06.545034-ГВ"</f>
        <v>06.545034-ГВ</v>
      </c>
      <c r="C176" s="51" t="s">
        <v>221</v>
      </c>
      <c r="D176" s="52"/>
      <c r="E176" s="53" t="s">
        <v>227</v>
      </c>
      <c r="F176" s="54" t="s">
        <v>17</v>
      </c>
      <c r="G176" s="55" t="s">
        <v>223</v>
      </c>
      <c r="H176" s="56">
        <v>128.75</v>
      </c>
      <c r="I176" s="54" t="s">
        <v>19</v>
      </c>
      <c r="J176" s="57">
        <v>42460</v>
      </c>
    </row>
    <row r="177" spans="1:10" ht="51.75" hidden="1">
      <c r="A177" s="51" t="s">
        <v>14</v>
      </c>
      <c r="B177" s="51" t="str">
        <f>"06.545034-ТЭ"</f>
        <v>06.545034-ТЭ</v>
      </c>
      <c r="C177" s="51" t="s">
        <v>224</v>
      </c>
      <c r="D177" s="52"/>
      <c r="E177" s="53" t="s">
        <v>227</v>
      </c>
      <c r="F177" s="54" t="s">
        <v>17</v>
      </c>
      <c r="G177" s="55" t="s">
        <v>223</v>
      </c>
      <c r="H177" s="56">
        <v>358871.11</v>
      </c>
      <c r="I177" s="54" t="s">
        <v>23</v>
      </c>
      <c r="J177" s="57">
        <v>42460</v>
      </c>
    </row>
    <row r="178" spans="1:10" ht="51.75" hidden="1">
      <c r="A178" s="51" t="s">
        <v>14</v>
      </c>
      <c r="B178" s="51" t="str">
        <f>"06.545035-ГВ"</f>
        <v>06.545035-ГВ</v>
      </c>
      <c r="C178" s="51" t="s">
        <v>221</v>
      </c>
      <c r="D178" s="52"/>
      <c r="E178" s="53" t="s">
        <v>228</v>
      </c>
      <c r="F178" s="54" t="s">
        <v>17</v>
      </c>
      <c r="G178" s="55" t="s">
        <v>223</v>
      </c>
      <c r="H178" s="56">
        <v>63768.179999999993</v>
      </c>
      <c r="I178" s="54" t="s">
        <v>23</v>
      </c>
      <c r="J178" s="57">
        <v>42460</v>
      </c>
    </row>
    <row r="179" spans="1:10" ht="51.75" hidden="1">
      <c r="A179" s="51" t="s">
        <v>14</v>
      </c>
      <c r="B179" s="51" t="str">
        <f>"06.545035-ТЭ"</f>
        <v>06.545035-ТЭ</v>
      </c>
      <c r="C179" s="51" t="s">
        <v>224</v>
      </c>
      <c r="D179" s="52"/>
      <c r="E179" s="53" t="s">
        <v>228</v>
      </c>
      <c r="F179" s="54" t="s">
        <v>17</v>
      </c>
      <c r="G179" s="55" t="s">
        <v>223</v>
      </c>
      <c r="H179" s="56">
        <v>96153.88</v>
      </c>
      <c r="I179" s="54" t="s">
        <v>23</v>
      </c>
      <c r="J179" s="57">
        <v>42460</v>
      </c>
    </row>
    <row r="180" spans="1:10" ht="51.75" hidden="1">
      <c r="A180" s="51" t="s">
        <v>14</v>
      </c>
      <c r="B180" s="51" t="str">
        <f>"06.545036-ТЭ"</f>
        <v>06.545036-ТЭ</v>
      </c>
      <c r="C180" s="51" t="s">
        <v>196</v>
      </c>
      <c r="D180" s="52"/>
      <c r="E180" s="53" t="s">
        <v>229</v>
      </c>
      <c r="F180" s="54" t="s">
        <v>17</v>
      </c>
      <c r="G180" s="55" t="s">
        <v>223</v>
      </c>
      <c r="H180" s="56">
        <v>1696731.0499999998</v>
      </c>
      <c r="I180" s="54" t="s">
        <v>56</v>
      </c>
      <c r="J180" s="57">
        <v>42460</v>
      </c>
    </row>
    <row r="181" spans="1:10" ht="51.75" hidden="1">
      <c r="A181" s="51" t="s">
        <v>14</v>
      </c>
      <c r="B181" s="51" t="str">
        <f>"06.545036ГВС"</f>
        <v>06.545036ГВС</v>
      </c>
      <c r="C181" s="51" t="s">
        <v>196</v>
      </c>
      <c r="D181" s="52"/>
      <c r="E181" s="53" t="s">
        <v>229</v>
      </c>
      <c r="F181" s="54" t="s">
        <v>17</v>
      </c>
      <c r="G181" s="55" t="s">
        <v>223</v>
      </c>
      <c r="H181" s="56">
        <v>665780.39999999991</v>
      </c>
      <c r="I181" s="54" t="s">
        <v>56</v>
      </c>
      <c r="J181" s="57">
        <v>42460</v>
      </c>
    </row>
    <row r="182" spans="1:10" ht="51.75" hidden="1">
      <c r="A182" s="51" t="s">
        <v>14</v>
      </c>
      <c r="B182" s="51" t="str">
        <f>"06.545037-ГВ"</f>
        <v>06.545037-ГВ</v>
      </c>
      <c r="C182" s="51" t="s">
        <v>221</v>
      </c>
      <c r="D182" s="52"/>
      <c r="E182" s="53" t="s">
        <v>230</v>
      </c>
      <c r="F182" s="54" t="s">
        <v>17</v>
      </c>
      <c r="G182" s="55" t="s">
        <v>223</v>
      </c>
      <c r="H182" s="56">
        <v>188016.06</v>
      </c>
      <c r="I182" s="54" t="s">
        <v>23</v>
      </c>
      <c r="J182" s="57">
        <v>42460</v>
      </c>
    </row>
    <row r="183" spans="1:10" ht="51.75" hidden="1">
      <c r="A183" s="51" t="s">
        <v>14</v>
      </c>
      <c r="B183" s="51" t="str">
        <f>"06.545037-ТЭ"</f>
        <v>06.545037-ТЭ</v>
      </c>
      <c r="C183" s="51" t="s">
        <v>224</v>
      </c>
      <c r="D183" s="52"/>
      <c r="E183" s="53" t="s">
        <v>230</v>
      </c>
      <c r="F183" s="54" t="s">
        <v>17</v>
      </c>
      <c r="G183" s="55" t="s">
        <v>223</v>
      </c>
      <c r="H183" s="56">
        <v>853950.6100000001</v>
      </c>
      <c r="I183" s="54" t="s">
        <v>27</v>
      </c>
      <c r="J183" s="57">
        <v>42460</v>
      </c>
    </row>
    <row r="184" spans="1:10" ht="51.75" hidden="1">
      <c r="A184" s="51" t="s">
        <v>14</v>
      </c>
      <c r="B184" s="51" t="str">
        <f>"06.545038-ГВ"</f>
        <v>06.545038-ГВ</v>
      </c>
      <c r="C184" s="51" t="s">
        <v>221</v>
      </c>
      <c r="D184" s="52"/>
      <c r="E184" s="53" t="s">
        <v>231</v>
      </c>
      <c r="F184" s="54" t="s">
        <v>17</v>
      </c>
      <c r="G184" s="55" t="s">
        <v>223</v>
      </c>
      <c r="H184" s="56">
        <v>67412.72</v>
      </c>
      <c r="I184" s="54" t="s">
        <v>27</v>
      </c>
      <c r="J184" s="57">
        <v>42460</v>
      </c>
    </row>
    <row r="185" spans="1:10" ht="51.75" hidden="1">
      <c r="A185" s="51" t="s">
        <v>14</v>
      </c>
      <c r="B185" s="51" t="str">
        <f>"06.545038-ТЭ"</f>
        <v>06.545038-ТЭ</v>
      </c>
      <c r="C185" s="51" t="s">
        <v>224</v>
      </c>
      <c r="D185" s="52"/>
      <c r="E185" s="53" t="s">
        <v>231</v>
      </c>
      <c r="F185" s="54" t="s">
        <v>17</v>
      </c>
      <c r="G185" s="55" t="s">
        <v>223</v>
      </c>
      <c r="H185" s="56">
        <v>161380.95999999996</v>
      </c>
      <c r="I185" s="54" t="s">
        <v>27</v>
      </c>
      <c r="J185" s="57">
        <v>42460</v>
      </c>
    </row>
    <row r="186" spans="1:10" ht="51.75" hidden="1">
      <c r="A186" s="51" t="s">
        <v>14</v>
      </c>
      <c r="B186" s="51" t="str">
        <f>"06.545042-ТЭ"</f>
        <v>06.545042-ТЭ</v>
      </c>
      <c r="C186" s="51" t="s">
        <v>51</v>
      </c>
      <c r="D186" s="52"/>
      <c r="E186" s="53" t="s">
        <v>232</v>
      </c>
      <c r="F186" s="54" t="s">
        <v>17</v>
      </c>
      <c r="G186" s="55" t="s">
        <v>210</v>
      </c>
      <c r="H186" s="56">
        <v>1356839.0699999998</v>
      </c>
      <c r="I186" s="54" t="s">
        <v>19</v>
      </c>
      <c r="J186" s="57">
        <v>42460</v>
      </c>
    </row>
    <row r="187" spans="1:10" ht="51.75" hidden="1">
      <c r="A187" s="51" t="s">
        <v>14</v>
      </c>
      <c r="B187" s="51" t="str">
        <f>"06.545046-ТЭ"</f>
        <v>06.545046-ТЭ</v>
      </c>
      <c r="C187" s="51" t="s">
        <v>233</v>
      </c>
      <c r="D187" s="52"/>
      <c r="E187" s="53" t="s">
        <v>234</v>
      </c>
      <c r="F187" s="54" t="s">
        <v>17</v>
      </c>
      <c r="G187" s="55" t="s">
        <v>223</v>
      </c>
      <c r="H187" s="56">
        <v>136309.04000000004</v>
      </c>
      <c r="I187" s="54" t="s">
        <v>48</v>
      </c>
      <c r="J187" s="57">
        <v>42460</v>
      </c>
    </row>
    <row r="188" spans="1:10" ht="51.75" hidden="1">
      <c r="A188" s="51" t="s">
        <v>14</v>
      </c>
      <c r="B188" s="51" t="str">
        <f>"06.545049-ТЭ"</f>
        <v>06.545049-ТЭ</v>
      </c>
      <c r="C188" s="51" t="s">
        <v>224</v>
      </c>
      <c r="D188" s="52"/>
      <c r="E188" s="53" t="s">
        <v>235</v>
      </c>
      <c r="F188" s="54" t="s">
        <v>17</v>
      </c>
      <c r="G188" s="55" t="s">
        <v>223</v>
      </c>
      <c r="H188" s="56">
        <v>215572.50000000006</v>
      </c>
      <c r="I188" s="54" t="s">
        <v>19</v>
      </c>
      <c r="J188" s="57">
        <v>42460</v>
      </c>
    </row>
    <row r="189" spans="1:10" ht="51.75" hidden="1">
      <c r="A189" s="51" t="s">
        <v>14</v>
      </c>
      <c r="B189" s="51" t="str">
        <f>"06.545052-ТЭ"</f>
        <v>06.545052-ТЭ</v>
      </c>
      <c r="C189" s="51" t="s">
        <v>51</v>
      </c>
      <c r="D189" s="52"/>
      <c r="E189" s="53" t="s">
        <v>236</v>
      </c>
      <c r="F189" s="54" t="s">
        <v>17</v>
      </c>
      <c r="G189" s="55" t="s">
        <v>210</v>
      </c>
      <c r="H189" s="56">
        <v>2586950.8199999998</v>
      </c>
      <c r="I189" s="54" t="s">
        <v>115</v>
      </c>
      <c r="J189" s="57">
        <v>42460</v>
      </c>
    </row>
    <row r="190" spans="1:10" ht="51.75" hidden="1">
      <c r="A190" s="51" t="s">
        <v>14</v>
      </c>
      <c r="B190" s="51" t="str">
        <f>"06.545054-ТЭ"</f>
        <v>06.545054-ТЭ</v>
      </c>
      <c r="C190" s="51" t="s">
        <v>79</v>
      </c>
      <c r="D190" s="52"/>
      <c r="E190" s="53" t="s">
        <v>237</v>
      </c>
      <c r="F190" s="54" t="s">
        <v>17</v>
      </c>
      <c r="G190" s="55" t="s">
        <v>210</v>
      </c>
      <c r="H190" s="56">
        <v>728302.95000000007</v>
      </c>
      <c r="I190" s="54" t="s">
        <v>23</v>
      </c>
      <c r="J190" s="57">
        <v>42460</v>
      </c>
    </row>
    <row r="191" spans="1:10" ht="51.75" hidden="1">
      <c r="A191" s="51" t="s">
        <v>14</v>
      </c>
      <c r="B191" s="51" t="str">
        <f>"06.545055-ГВ"</f>
        <v>06.545055-ГВ</v>
      </c>
      <c r="C191" s="51" t="s">
        <v>224</v>
      </c>
      <c r="D191" s="52"/>
      <c r="E191" s="53" t="s">
        <v>238</v>
      </c>
      <c r="F191" s="54" t="s">
        <v>17</v>
      </c>
      <c r="G191" s="55" t="s">
        <v>223</v>
      </c>
      <c r="H191" s="56">
        <v>180025.2</v>
      </c>
      <c r="I191" s="54" t="s">
        <v>27</v>
      </c>
      <c r="J191" s="57">
        <v>42460</v>
      </c>
    </row>
    <row r="192" spans="1:10" ht="51.75" hidden="1">
      <c r="A192" s="51" t="s">
        <v>14</v>
      </c>
      <c r="B192" s="51" t="str">
        <f>"06.545055-ТЭ"</f>
        <v>06.545055-ТЭ</v>
      </c>
      <c r="C192" s="51" t="s">
        <v>224</v>
      </c>
      <c r="D192" s="52"/>
      <c r="E192" s="53" t="s">
        <v>238</v>
      </c>
      <c r="F192" s="54" t="s">
        <v>17</v>
      </c>
      <c r="G192" s="55" t="s">
        <v>223</v>
      </c>
      <c r="H192" s="56">
        <v>425157.99</v>
      </c>
      <c r="I192" s="54" t="s">
        <v>27</v>
      </c>
      <c r="J192" s="57">
        <v>42460</v>
      </c>
    </row>
    <row r="193" spans="1:10" ht="51.75" hidden="1">
      <c r="A193" s="51" t="s">
        <v>14</v>
      </c>
      <c r="B193" s="51" t="str">
        <f>"06.545057-ТЭ"</f>
        <v>06.545057-ТЭ</v>
      </c>
      <c r="C193" s="51" t="s">
        <v>51</v>
      </c>
      <c r="D193" s="52"/>
      <c r="E193" s="53" t="s">
        <v>239</v>
      </c>
      <c r="F193" s="54" t="s">
        <v>17</v>
      </c>
      <c r="G193" s="55" t="s">
        <v>210</v>
      </c>
      <c r="H193" s="56">
        <v>1722280.25</v>
      </c>
      <c r="I193" s="54" t="s">
        <v>48</v>
      </c>
      <c r="J193" s="57">
        <v>42460</v>
      </c>
    </row>
    <row r="194" spans="1:10" ht="51.75" hidden="1">
      <c r="A194" s="51" t="s">
        <v>14</v>
      </c>
      <c r="B194" s="51" t="str">
        <f>"06.545058-ТЭ"</f>
        <v>06.545058-ТЭ</v>
      </c>
      <c r="C194" s="51" t="s">
        <v>79</v>
      </c>
      <c r="D194" s="52"/>
      <c r="E194" s="53" t="s">
        <v>240</v>
      </c>
      <c r="F194" s="54" t="s">
        <v>17</v>
      </c>
      <c r="G194" s="55" t="s">
        <v>210</v>
      </c>
      <c r="H194" s="56">
        <v>772541.59</v>
      </c>
      <c r="I194" s="54" t="s">
        <v>19</v>
      </c>
      <c r="J194" s="57">
        <v>42460</v>
      </c>
    </row>
    <row r="195" spans="1:10" ht="51.75" hidden="1">
      <c r="A195" s="51" t="s">
        <v>14</v>
      </c>
      <c r="B195" s="51" t="str">
        <f>"06.545061-ГВ"</f>
        <v>06.545061-ГВ</v>
      </c>
      <c r="C195" s="51" t="s">
        <v>224</v>
      </c>
      <c r="D195" s="52"/>
      <c r="E195" s="53" t="s">
        <v>241</v>
      </c>
      <c r="F195" s="54" t="s">
        <v>17</v>
      </c>
      <c r="G195" s="55" t="s">
        <v>223</v>
      </c>
      <c r="H195" s="56">
        <v>181809.69</v>
      </c>
      <c r="I195" s="54" t="s">
        <v>23</v>
      </c>
      <c r="J195" s="57">
        <v>42460</v>
      </c>
    </row>
    <row r="196" spans="1:10" ht="51.75" hidden="1">
      <c r="A196" s="51" t="s">
        <v>14</v>
      </c>
      <c r="B196" s="51" t="str">
        <f>"06.545063-ТЭ"</f>
        <v>06.545063-ТЭ</v>
      </c>
      <c r="C196" s="51" t="s">
        <v>79</v>
      </c>
      <c r="D196" s="52"/>
      <c r="E196" s="53" t="s">
        <v>242</v>
      </c>
      <c r="F196" s="54" t="s">
        <v>17</v>
      </c>
      <c r="G196" s="55" t="s">
        <v>210</v>
      </c>
      <c r="H196" s="56">
        <v>718260.25</v>
      </c>
      <c r="I196" s="54" t="s">
        <v>27</v>
      </c>
      <c r="J196" s="57">
        <v>42460</v>
      </c>
    </row>
    <row r="197" spans="1:10" ht="51.75" hidden="1">
      <c r="A197" s="51" t="s">
        <v>14</v>
      </c>
      <c r="B197" s="51" t="str">
        <f>"06.545071-ТЭ"</f>
        <v>06.545071-ТЭ</v>
      </c>
      <c r="C197" s="51" t="s">
        <v>243</v>
      </c>
      <c r="D197" s="52"/>
      <c r="E197" s="53" t="s">
        <v>244</v>
      </c>
      <c r="F197" s="54" t="s">
        <v>17</v>
      </c>
      <c r="G197" s="55" t="s">
        <v>223</v>
      </c>
      <c r="H197" s="56">
        <v>255135.85000000003</v>
      </c>
      <c r="I197" s="54" t="s">
        <v>23</v>
      </c>
      <c r="J197" s="57">
        <v>42460</v>
      </c>
    </row>
    <row r="198" spans="1:10" ht="51.75" hidden="1">
      <c r="A198" s="51" t="s">
        <v>14</v>
      </c>
      <c r="B198" s="51" t="str">
        <f>"06.545073-ТЭ"</f>
        <v>06.545073-ТЭ</v>
      </c>
      <c r="C198" s="51" t="s">
        <v>245</v>
      </c>
      <c r="D198" s="52"/>
      <c r="E198" s="53" t="s">
        <v>246</v>
      </c>
      <c r="F198" s="54" t="s">
        <v>17</v>
      </c>
      <c r="G198" s="55" t="s">
        <v>210</v>
      </c>
      <c r="H198" s="56">
        <v>918443.99</v>
      </c>
      <c r="I198" s="54" t="s">
        <v>27</v>
      </c>
      <c r="J198" s="57">
        <v>42460</v>
      </c>
    </row>
    <row r="199" spans="1:10" ht="51.75" hidden="1">
      <c r="A199" s="51" t="s">
        <v>14</v>
      </c>
      <c r="B199" s="51" t="str">
        <f>"06.545073ГВС"</f>
        <v>06.545073ГВС</v>
      </c>
      <c r="C199" s="51" t="s">
        <v>245</v>
      </c>
      <c r="D199" s="52"/>
      <c r="E199" s="53" t="s">
        <v>246</v>
      </c>
      <c r="F199" s="54" t="s">
        <v>17</v>
      </c>
      <c r="G199" s="55" t="s">
        <v>210</v>
      </c>
      <c r="H199" s="56">
        <v>154026.96000000002</v>
      </c>
      <c r="I199" s="54" t="s">
        <v>27</v>
      </c>
      <c r="J199" s="57">
        <v>42460</v>
      </c>
    </row>
    <row r="200" spans="1:10" ht="51.75" hidden="1">
      <c r="A200" s="51" t="s">
        <v>14</v>
      </c>
      <c r="B200" s="51" t="str">
        <f>"06.545276-ТЭ"</f>
        <v>06.545276-ТЭ</v>
      </c>
      <c r="C200" s="51" t="s">
        <v>24</v>
      </c>
      <c r="D200" s="52"/>
      <c r="E200" s="53" t="s">
        <v>247</v>
      </c>
      <c r="F200" s="54" t="s">
        <v>17</v>
      </c>
      <c r="G200" s="55" t="s">
        <v>223</v>
      </c>
      <c r="H200" s="56">
        <v>357860.69999999995</v>
      </c>
      <c r="I200" s="54" t="s">
        <v>19</v>
      </c>
      <c r="J200" s="57">
        <v>42460</v>
      </c>
    </row>
    <row r="201" spans="1:10" ht="51.75" hidden="1">
      <c r="A201" s="51" t="s">
        <v>14</v>
      </c>
      <c r="B201" s="51" t="str">
        <f>"06.545276ГВС"</f>
        <v>06.545276ГВС</v>
      </c>
      <c r="C201" s="51" t="s">
        <v>24</v>
      </c>
      <c r="D201" s="52"/>
      <c r="E201" s="53" t="s">
        <v>247</v>
      </c>
      <c r="F201" s="54" t="s">
        <v>17</v>
      </c>
      <c r="G201" s="55" t="s">
        <v>223</v>
      </c>
      <c r="H201" s="56">
        <v>426045.61</v>
      </c>
      <c r="I201" s="54" t="s">
        <v>19</v>
      </c>
      <c r="J201" s="57">
        <v>42460</v>
      </c>
    </row>
    <row r="202" spans="1:10" ht="51.75" hidden="1">
      <c r="A202" s="51" t="s">
        <v>14</v>
      </c>
      <c r="B202" s="51" t="str">
        <f>"06.545300-ТЭ"</f>
        <v>06.545300-ТЭ</v>
      </c>
      <c r="C202" s="51" t="s">
        <v>51</v>
      </c>
      <c r="D202" s="52" t="s">
        <v>248</v>
      </c>
      <c r="E202" s="58" t="s">
        <v>249</v>
      </c>
      <c r="F202" s="54" t="s">
        <v>70</v>
      </c>
      <c r="G202" s="55" t="s">
        <v>210</v>
      </c>
      <c r="H202" s="56">
        <v>2648055.67</v>
      </c>
      <c r="I202" s="54" t="s">
        <v>250</v>
      </c>
      <c r="J202" s="54" t="s">
        <v>248</v>
      </c>
    </row>
    <row r="203" spans="1:10" ht="51.75" hidden="1">
      <c r="A203" s="51" t="s">
        <v>14</v>
      </c>
      <c r="B203" s="51" t="str">
        <f>"06.545301-ТЭ"</f>
        <v>06.545301-ТЭ</v>
      </c>
      <c r="C203" s="51" t="s">
        <v>190</v>
      </c>
      <c r="D203" s="52"/>
      <c r="E203" s="53" t="s">
        <v>251</v>
      </c>
      <c r="F203" s="54" t="s">
        <v>17</v>
      </c>
      <c r="G203" s="55" t="s">
        <v>210</v>
      </c>
      <c r="H203" s="56">
        <v>5255117.4000000004</v>
      </c>
      <c r="I203" s="54" t="s">
        <v>56</v>
      </c>
      <c r="J203" s="57">
        <v>42460</v>
      </c>
    </row>
    <row r="204" spans="1:10" ht="51.75" hidden="1">
      <c r="A204" s="51" t="s">
        <v>14</v>
      </c>
      <c r="B204" s="51" t="str">
        <f>"06.545301ГВС"</f>
        <v>06.545301ГВС</v>
      </c>
      <c r="C204" s="51" t="s">
        <v>190</v>
      </c>
      <c r="D204" s="52"/>
      <c r="E204" s="53" t="s">
        <v>251</v>
      </c>
      <c r="F204" s="54" t="s">
        <v>17</v>
      </c>
      <c r="G204" s="55" t="s">
        <v>210</v>
      </c>
      <c r="H204" s="56">
        <v>1665058.8199999998</v>
      </c>
      <c r="I204" s="54" t="s">
        <v>71</v>
      </c>
      <c r="J204" s="57">
        <v>42460</v>
      </c>
    </row>
    <row r="205" spans="1:10" ht="51.75" hidden="1">
      <c r="A205" s="51" t="s">
        <v>14</v>
      </c>
      <c r="B205" s="51" t="str">
        <f>"06.545304-ТЭ"</f>
        <v>06.545304-ТЭ</v>
      </c>
      <c r="C205" s="51" t="s">
        <v>252</v>
      </c>
      <c r="D205" s="52"/>
      <c r="E205" s="53" t="s">
        <v>253</v>
      </c>
      <c r="F205" s="54" t="s">
        <v>17</v>
      </c>
      <c r="G205" s="55" t="s">
        <v>223</v>
      </c>
      <c r="H205" s="56">
        <v>4329651.63</v>
      </c>
      <c r="I205" s="54" t="s">
        <v>84</v>
      </c>
      <c r="J205" s="57">
        <v>42460</v>
      </c>
    </row>
    <row r="206" spans="1:10" ht="51.75" hidden="1">
      <c r="A206" s="51" t="s">
        <v>14</v>
      </c>
      <c r="B206" s="51" t="str">
        <f>"06.545316-ТЭ"</f>
        <v>06.545316-ТЭ</v>
      </c>
      <c r="C206" s="51" t="s">
        <v>254</v>
      </c>
      <c r="D206" s="52"/>
      <c r="E206" s="53" t="s">
        <v>255</v>
      </c>
      <c r="F206" s="54" t="s">
        <v>17</v>
      </c>
      <c r="G206" s="55" t="s">
        <v>223</v>
      </c>
      <c r="H206" s="56">
        <v>1912974.86</v>
      </c>
      <c r="I206" s="54" t="s">
        <v>27</v>
      </c>
      <c r="J206" s="57">
        <v>42460</v>
      </c>
    </row>
    <row r="207" spans="1:10" ht="51.75" hidden="1">
      <c r="A207" s="51" t="s">
        <v>14</v>
      </c>
      <c r="B207" s="51" t="str">
        <f>"06.545318ГВС"</f>
        <v>06.545318ГВС</v>
      </c>
      <c r="C207" s="51" t="s">
        <v>24</v>
      </c>
      <c r="D207" s="52"/>
      <c r="E207" s="53" t="s">
        <v>256</v>
      </c>
      <c r="F207" s="54" t="s">
        <v>17</v>
      </c>
      <c r="G207" s="55" t="s">
        <v>210</v>
      </c>
      <c r="H207" s="56">
        <v>165653</v>
      </c>
      <c r="I207" s="54" t="s">
        <v>28</v>
      </c>
      <c r="J207" s="57">
        <v>42460</v>
      </c>
    </row>
    <row r="208" spans="1:10" ht="51.75" hidden="1">
      <c r="A208" s="51" t="s">
        <v>14</v>
      </c>
      <c r="B208" s="51" t="str">
        <f>"06.545324-ТЭ"</f>
        <v>06.545324-ТЭ</v>
      </c>
      <c r="C208" s="51" t="s">
        <v>196</v>
      </c>
      <c r="D208" s="52"/>
      <c r="E208" s="53" t="s">
        <v>257</v>
      </c>
      <c r="F208" s="54" t="s">
        <v>17</v>
      </c>
      <c r="G208" s="55" t="s">
        <v>210</v>
      </c>
      <c r="H208" s="56">
        <v>384958.89999999997</v>
      </c>
      <c r="I208" s="54" t="s">
        <v>23</v>
      </c>
      <c r="J208" s="57">
        <v>42460</v>
      </c>
    </row>
    <row r="209" spans="1:10" ht="51.75" hidden="1">
      <c r="A209" s="51" t="s">
        <v>14</v>
      </c>
      <c r="B209" s="51" t="str">
        <f>"06.545327-ТЭ"</f>
        <v>06.545327-ТЭ</v>
      </c>
      <c r="C209" s="51" t="s">
        <v>196</v>
      </c>
      <c r="D209" s="52"/>
      <c r="E209" s="53" t="s">
        <v>258</v>
      </c>
      <c r="F209" s="54" t="s">
        <v>17</v>
      </c>
      <c r="G209" s="55" t="s">
        <v>210</v>
      </c>
      <c r="H209" s="56">
        <v>586905.74</v>
      </c>
      <c r="I209" s="54" t="s">
        <v>23</v>
      </c>
      <c r="J209" s="57">
        <v>42460</v>
      </c>
    </row>
    <row r="210" spans="1:10" ht="51.75" hidden="1">
      <c r="A210" s="51" t="s">
        <v>14</v>
      </c>
      <c r="B210" s="51" t="str">
        <f>"06.545336-ТЭ"</f>
        <v>06.545336-ТЭ</v>
      </c>
      <c r="C210" s="51" t="s">
        <v>259</v>
      </c>
      <c r="D210" s="52"/>
      <c r="E210" s="53" t="s">
        <v>260</v>
      </c>
      <c r="F210" s="54" t="s">
        <v>17</v>
      </c>
      <c r="G210" s="55" t="s">
        <v>210</v>
      </c>
      <c r="H210" s="56">
        <v>1074918.5099999998</v>
      </c>
      <c r="I210" s="54" t="s">
        <v>27</v>
      </c>
      <c r="J210" s="57">
        <v>42460</v>
      </c>
    </row>
    <row r="211" spans="1:10" ht="51.75" hidden="1">
      <c r="A211" s="51" t="s">
        <v>14</v>
      </c>
      <c r="B211" s="51" t="str">
        <f>"06.545347-ТЭ"</f>
        <v>06.545347-ТЭ</v>
      </c>
      <c r="C211" s="51" t="s">
        <v>261</v>
      </c>
      <c r="D211" s="52"/>
      <c r="E211" s="53" t="s">
        <v>262</v>
      </c>
      <c r="F211" s="54" t="s">
        <v>17</v>
      </c>
      <c r="G211" s="55" t="s">
        <v>210</v>
      </c>
      <c r="H211" s="56">
        <v>4689850.1899999995</v>
      </c>
      <c r="I211" s="54" t="s">
        <v>84</v>
      </c>
      <c r="J211" s="57">
        <v>42460</v>
      </c>
    </row>
    <row r="212" spans="1:10" ht="51.75" hidden="1">
      <c r="A212" s="51" t="s">
        <v>14</v>
      </c>
      <c r="B212" s="51" t="str">
        <f>"06.545347ГВС"</f>
        <v>06.545347ГВС</v>
      </c>
      <c r="C212" s="51" t="s">
        <v>261</v>
      </c>
      <c r="D212" s="52"/>
      <c r="E212" s="53" t="s">
        <v>262</v>
      </c>
      <c r="F212" s="54" t="s">
        <v>17</v>
      </c>
      <c r="G212" s="55" t="s">
        <v>210</v>
      </c>
      <c r="H212" s="56">
        <v>835909.77999999991</v>
      </c>
      <c r="I212" s="54" t="s">
        <v>31</v>
      </c>
      <c r="J212" s="57">
        <v>42460</v>
      </c>
    </row>
    <row r="213" spans="1:10" ht="26.25" hidden="1">
      <c r="A213" s="51" t="s">
        <v>14</v>
      </c>
      <c r="B213" s="51" t="str">
        <f>"06.547018-ТЭ"</f>
        <v>06.547018-ТЭ</v>
      </c>
      <c r="C213" s="51" t="s">
        <v>62</v>
      </c>
      <c r="D213" s="52"/>
      <c r="E213" s="53" t="s">
        <v>263</v>
      </c>
      <c r="F213" s="54" t="s">
        <v>17</v>
      </c>
      <c r="G213" s="55" t="s">
        <v>189</v>
      </c>
      <c r="H213" s="56">
        <v>3.9999999979045242E-2</v>
      </c>
      <c r="I213" s="54" t="s">
        <v>28</v>
      </c>
      <c r="J213" s="57">
        <v>42460</v>
      </c>
    </row>
    <row r="214" spans="1:10" ht="26.25">
      <c r="A214" s="51" t="s">
        <v>14</v>
      </c>
      <c r="B214" s="51" t="str">
        <f>"06.555054-ТЭ"</f>
        <v>06.555054-ТЭ</v>
      </c>
      <c r="C214" s="51" t="s">
        <v>109</v>
      </c>
      <c r="D214" s="52"/>
      <c r="E214" s="53" t="s">
        <v>264</v>
      </c>
      <c r="F214" s="54" t="s">
        <v>17</v>
      </c>
      <c r="G214" s="55" t="s">
        <v>18</v>
      </c>
      <c r="H214" s="56">
        <v>20050042.420000002</v>
      </c>
      <c r="I214" s="54" t="s">
        <v>265</v>
      </c>
      <c r="J214" s="57">
        <v>42460</v>
      </c>
    </row>
    <row r="215" spans="1:10" ht="26.25">
      <c r="A215" s="51" t="s">
        <v>14</v>
      </c>
      <c r="B215" s="51" t="str">
        <f>"06.555054ГВС"</f>
        <v>06.555054ГВС</v>
      </c>
      <c r="C215" s="51" t="s">
        <v>109</v>
      </c>
      <c r="D215" s="52"/>
      <c r="E215" s="53" t="s">
        <v>264</v>
      </c>
      <c r="F215" s="54" t="s">
        <v>17</v>
      </c>
      <c r="G215" s="55" t="s">
        <v>18</v>
      </c>
      <c r="H215" s="56">
        <v>13449024.4</v>
      </c>
      <c r="I215" s="54" t="s">
        <v>266</v>
      </c>
      <c r="J215" s="57">
        <v>42460</v>
      </c>
    </row>
    <row r="216" spans="1:10" ht="26.25" hidden="1">
      <c r="A216" s="51" t="s">
        <v>14</v>
      </c>
      <c r="B216" s="51" t="str">
        <f>"06.570068-ТЭ"</f>
        <v>06.570068-ТЭ</v>
      </c>
      <c r="C216" s="51" t="s">
        <v>51</v>
      </c>
      <c r="D216" s="52" t="s">
        <v>94</v>
      </c>
      <c r="E216" s="58" t="s">
        <v>267</v>
      </c>
      <c r="F216" s="54" t="s">
        <v>70</v>
      </c>
      <c r="G216" s="55" t="s">
        <v>112</v>
      </c>
      <c r="H216" s="56">
        <v>2327178.81</v>
      </c>
      <c r="I216" s="54" t="s">
        <v>266</v>
      </c>
      <c r="J216" s="54" t="s">
        <v>94</v>
      </c>
    </row>
    <row r="217" spans="1:10" ht="26.25" hidden="1">
      <c r="A217" s="51" t="s">
        <v>14</v>
      </c>
      <c r="B217" s="51" t="str">
        <f>"06.579000-ТЭ"</f>
        <v>06.579000-ТЭ</v>
      </c>
      <c r="C217" s="51" t="s">
        <v>46</v>
      </c>
      <c r="D217" s="52"/>
      <c r="E217" s="53" t="s">
        <v>268</v>
      </c>
      <c r="F217" s="54" t="s">
        <v>17</v>
      </c>
      <c r="G217" s="55" t="s">
        <v>189</v>
      </c>
      <c r="H217" s="56">
        <v>848900.1100000001</v>
      </c>
      <c r="I217" s="54" t="s">
        <v>19</v>
      </c>
      <c r="J217" s="57">
        <v>42460</v>
      </c>
    </row>
    <row r="218" spans="1:10" ht="26.25" hidden="1">
      <c r="A218" s="51" t="s">
        <v>14</v>
      </c>
      <c r="B218" s="51" t="str">
        <f>"06.580036-ТЭ"</f>
        <v>06.580036-ТЭ</v>
      </c>
      <c r="C218" s="51" t="s">
        <v>41</v>
      </c>
      <c r="D218" s="52"/>
      <c r="E218" s="53" t="s">
        <v>269</v>
      </c>
      <c r="F218" s="54" t="s">
        <v>17</v>
      </c>
      <c r="G218" s="55" t="s">
        <v>199</v>
      </c>
      <c r="H218" s="56">
        <v>1814518.8600000003</v>
      </c>
      <c r="I218" s="54" t="s">
        <v>84</v>
      </c>
      <c r="J218" s="57">
        <v>42460</v>
      </c>
    </row>
    <row r="219" spans="1:10" ht="51.75" hidden="1">
      <c r="A219" s="51" t="s">
        <v>14</v>
      </c>
      <c r="B219" s="51" t="str">
        <f>"06.590030-ТЭ"</f>
        <v>06.590030-ТЭ</v>
      </c>
      <c r="C219" s="51" t="s">
        <v>51</v>
      </c>
      <c r="D219" s="52"/>
      <c r="E219" s="53" t="s">
        <v>270</v>
      </c>
      <c r="F219" s="54" t="s">
        <v>17</v>
      </c>
      <c r="G219" s="55" t="s">
        <v>210</v>
      </c>
      <c r="H219" s="56">
        <v>1696096.67</v>
      </c>
      <c r="I219" s="54" t="s">
        <v>68</v>
      </c>
      <c r="J219" s="57">
        <v>42460</v>
      </c>
    </row>
    <row r="220" spans="1:10" ht="51.75" hidden="1">
      <c r="A220" s="51" t="s">
        <v>14</v>
      </c>
      <c r="B220" s="51" t="str">
        <f>"06.590031-ТЭ"</f>
        <v>06.590031-ТЭ</v>
      </c>
      <c r="C220" s="51" t="s">
        <v>51</v>
      </c>
      <c r="D220" s="52"/>
      <c r="E220" s="53" t="s">
        <v>271</v>
      </c>
      <c r="F220" s="54" t="s">
        <v>17</v>
      </c>
      <c r="G220" s="55" t="s">
        <v>210</v>
      </c>
      <c r="H220" s="56">
        <v>1354344.85</v>
      </c>
      <c r="I220" s="54" t="s">
        <v>56</v>
      </c>
      <c r="J220" s="57">
        <v>42460</v>
      </c>
    </row>
    <row r="221" spans="1:10" ht="51.75" hidden="1">
      <c r="A221" s="51" t="s">
        <v>14</v>
      </c>
      <c r="B221" s="51" t="str">
        <f>"06.590046-ТЭ"</f>
        <v>06.590046-ТЭ</v>
      </c>
      <c r="C221" s="51" t="s">
        <v>254</v>
      </c>
      <c r="D221" s="52"/>
      <c r="E221" s="53" t="s">
        <v>272</v>
      </c>
      <c r="F221" s="54" t="s">
        <v>17</v>
      </c>
      <c r="G221" s="55" t="s">
        <v>223</v>
      </c>
      <c r="H221" s="56">
        <v>1004805.31</v>
      </c>
      <c r="I221" s="54" t="s">
        <v>19</v>
      </c>
      <c r="J221" s="57">
        <v>42460</v>
      </c>
    </row>
    <row r="222" spans="1:10" ht="51.75" hidden="1">
      <c r="A222" s="51" t="s">
        <v>14</v>
      </c>
      <c r="B222" s="51" t="str">
        <f>"06.590056-ТЭ"</f>
        <v>06.590056-ТЭ</v>
      </c>
      <c r="C222" s="51" t="s">
        <v>273</v>
      </c>
      <c r="D222" s="52"/>
      <c r="E222" s="53" t="s">
        <v>274</v>
      </c>
      <c r="F222" s="54" t="s">
        <v>17</v>
      </c>
      <c r="G222" s="55" t="s">
        <v>210</v>
      </c>
      <c r="H222" s="56">
        <v>1238833.3599999999</v>
      </c>
      <c r="I222" s="54" t="s">
        <v>275</v>
      </c>
      <c r="J222" s="57">
        <v>42460</v>
      </c>
    </row>
    <row r="223" spans="1:10" ht="39" hidden="1">
      <c r="A223" s="51" t="s">
        <v>14</v>
      </c>
      <c r="B223" s="51" t="str">
        <f>"13092"</f>
        <v>13092</v>
      </c>
      <c r="C223" s="51" t="s">
        <v>276</v>
      </c>
      <c r="D223" s="52"/>
      <c r="E223" s="53" t="s">
        <v>277</v>
      </c>
      <c r="F223" s="54" t="s">
        <v>17</v>
      </c>
      <c r="G223" s="55" t="s">
        <v>97</v>
      </c>
      <c r="H223" s="56">
        <v>59798.649999999994</v>
      </c>
      <c r="I223" s="54" t="s">
        <v>28</v>
      </c>
      <c r="J223" s="57">
        <v>42460</v>
      </c>
    </row>
    <row r="224" spans="1:10" ht="26.25" hidden="1">
      <c r="A224" s="51" t="s">
        <v>14</v>
      </c>
      <c r="B224" s="51" t="str">
        <f>"14046"</f>
        <v>14046</v>
      </c>
      <c r="C224" s="51" t="s">
        <v>278</v>
      </c>
      <c r="D224" s="52"/>
      <c r="E224" s="53" t="s">
        <v>279</v>
      </c>
      <c r="F224" s="54" t="s">
        <v>17</v>
      </c>
      <c r="G224" s="55" t="s">
        <v>112</v>
      </c>
      <c r="H224" s="56">
        <v>1.4499999999825377</v>
      </c>
      <c r="I224" s="54" t="s">
        <v>23</v>
      </c>
      <c r="J224" s="57">
        <v>42460</v>
      </c>
    </row>
    <row r="225" spans="1:10" ht="26.25" hidden="1">
      <c r="A225" s="51" t="s">
        <v>14</v>
      </c>
      <c r="B225" s="51" t="str">
        <f>"41041"</f>
        <v>41041</v>
      </c>
      <c r="C225" s="51" t="s">
        <v>280</v>
      </c>
      <c r="D225" s="52"/>
      <c r="E225" s="53" t="s">
        <v>281</v>
      </c>
      <c r="F225" s="54" t="s">
        <v>17</v>
      </c>
      <c r="G225" s="55" t="s">
        <v>199</v>
      </c>
      <c r="H225" s="56">
        <v>265072.48000000004</v>
      </c>
      <c r="I225" s="54" t="s">
        <v>94</v>
      </c>
      <c r="J225" s="57">
        <v>42460</v>
      </c>
    </row>
    <row r="226" spans="1:10" ht="51.75" hidden="1">
      <c r="A226" s="51" t="s">
        <v>14</v>
      </c>
      <c r="B226" s="51" t="str">
        <f>"41132"</f>
        <v>41132</v>
      </c>
      <c r="C226" s="51" t="s">
        <v>282</v>
      </c>
      <c r="D226" s="52"/>
      <c r="E226" s="53" t="s">
        <v>283</v>
      </c>
      <c r="F226" s="54" t="s">
        <v>17</v>
      </c>
      <c r="G226" s="55" t="s">
        <v>210</v>
      </c>
      <c r="H226" s="56">
        <v>737077.04</v>
      </c>
      <c r="I226" s="54" t="s">
        <v>23</v>
      </c>
      <c r="J226" s="57">
        <v>42460</v>
      </c>
    </row>
    <row r="227" spans="1:10" ht="26.25" hidden="1">
      <c r="A227" s="51" t="s">
        <v>14</v>
      </c>
      <c r="B227" s="51" t="str">
        <f>"44039"</f>
        <v>44039</v>
      </c>
      <c r="C227" s="51" t="s">
        <v>284</v>
      </c>
      <c r="D227" s="52"/>
      <c r="E227" s="53" t="s">
        <v>285</v>
      </c>
      <c r="F227" s="54" t="s">
        <v>17</v>
      </c>
      <c r="G227" s="55" t="s">
        <v>189</v>
      </c>
      <c r="H227" s="56">
        <v>1468776.99</v>
      </c>
      <c r="I227" s="54" t="s">
        <v>48</v>
      </c>
      <c r="J227" s="57">
        <v>42460</v>
      </c>
    </row>
    <row r="228" spans="1:10" ht="51.75" hidden="1">
      <c r="A228" s="51" t="s">
        <v>14</v>
      </c>
      <c r="B228" s="51" t="str">
        <f>"45061"</f>
        <v>45061</v>
      </c>
      <c r="C228" s="51" t="s">
        <v>286</v>
      </c>
      <c r="D228" s="52"/>
      <c r="E228" s="53" t="s">
        <v>241</v>
      </c>
      <c r="F228" s="54" t="s">
        <v>17</v>
      </c>
      <c r="G228" s="55" t="s">
        <v>223</v>
      </c>
      <c r="H228" s="56">
        <v>361728.87</v>
      </c>
      <c r="I228" s="54" t="s">
        <v>23</v>
      </c>
      <c r="J228" s="57">
        <v>42460</v>
      </c>
    </row>
    <row r="229" spans="1:10" hidden="1">
      <c r="A229" s="51" t="s">
        <v>14</v>
      </c>
      <c r="B229" s="51" t="str">
        <f>"5.23104/1"</f>
        <v>5.23104/1</v>
      </c>
      <c r="C229" s="51" t="s">
        <v>287</v>
      </c>
      <c r="D229" s="52"/>
      <c r="E229" s="53" t="s">
        <v>288</v>
      </c>
      <c r="F229" s="54" t="s">
        <v>17</v>
      </c>
      <c r="G229" s="55" t="s">
        <v>148</v>
      </c>
      <c r="H229" s="56">
        <v>1.999999990221113E-2</v>
      </c>
      <c r="I229" s="54" t="s">
        <v>23</v>
      </c>
      <c r="J229" s="57">
        <v>42460</v>
      </c>
    </row>
    <row r="230" spans="1:10" ht="26.25" hidden="1">
      <c r="A230" s="51" t="s">
        <v>14</v>
      </c>
      <c r="B230" s="51" t="str">
        <f>"5.26903"</f>
        <v>5.26903</v>
      </c>
      <c r="C230" s="51" t="s">
        <v>289</v>
      </c>
      <c r="D230" s="52"/>
      <c r="E230" s="53" t="s">
        <v>290</v>
      </c>
      <c r="F230" s="54" t="s">
        <v>17</v>
      </c>
      <c r="G230" s="55" t="s">
        <v>126</v>
      </c>
      <c r="H230" s="56">
        <v>2022904.0899999999</v>
      </c>
      <c r="I230" s="54" t="s">
        <v>28</v>
      </c>
      <c r="J230" s="57">
        <v>42460</v>
      </c>
    </row>
    <row r="231" spans="1:10" ht="39" hidden="1">
      <c r="A231" s="51" t="s">
        <v>14</v>
      </c>
      <c r="B231" s="51" t="str">
        <f>"5.30403/1"</f>
        <v>5.30403/1</v>
      </c>
      <c r="C231" s="51" t="s">
        <v>291</v>
      </c>
      <c r="D231" s="52"/>
      <c r="E231" s="53" t="s">
        <v>292</v>
      </c>
      <c r="F231" s="54" t="s">
        <v>17</v>
      </c>
      <c r="G231" s="55" t="s">
        <v>22</v>
      </c>
      <c r="H231" s="56">
        <v>963226.13000000012</v>
      </c>
      <c r="I231" s="54" t="s">
        <v>84</v>
      </c>
      <c r="J231" s="57">
        <v>42460</v>
      </c>
    </row>
    <row r="232" spans="1:10" ht="39" hidden="1">
      <c r="A232" s="51" t="s">
        <v>14</v>
      </c>
      <c r="B232" s="51" t="str">
        <f>"5.31302/0"</f>
        <v>5.31302/0</v>
      </c>
      <c r="C232" s="51" t="s">
        <v>293</v>
      </c>
      <c r="D232" s="52"/>
      <c r="E232" s="53" t="s">
        <v>294</v>
      </c>
      <c r="F232" s="54" t="s">
        <v>17</v>
      </c>
      <c r="G232" s="55" t="s">
        <v>22</v>
      </c>
      <c r="H232" s="56">
        <v>1309899.44</v>
      </c>
      <c r="I232" s="54" t="s">
        <v>182</v>
      </c>
      <c r="J232" s="57">
        <v>42460</v>
      </c>
    </row>
    <row r="233" spans="1:10" ht="39" hidden="1">
      <c r="A233" s="51" t="s">
        <v>295</v>
      </c>
      <c r="B233" s="51" t="str">
        <f>"06.520303-ТЭ"</f>
        <v>06.520303-ТЭ</v>
      </c>
      <c r="C233" s="51" t="s">
        <v>51</v>
      </c>
      <c r="D233" s="52"/>
      <c r="E233" s="53" t="s">
        <v>296</v>
      </c>
      <c r="F233" s="54" t="s">
        <v>17</v>
      </c>
      <c r="G233" s="55" t="s">
        <v>126</v>
      </c>
      <c r="H233" s="56">
        <v>5249425.0200000005</v>
      </c>
      <c r="I233" s="54" t="s">
        <v>48</v>
      </c>
      <c r="J233" s="57">
        <v>42460</v>
      </c>
    </row>
    <row r="234" spans="1:10" ht="26.25" hidden="1">
      <c r="A234" s="51" t="s">
        <v>295</v>
      </c>
      <c r="B234" s="51" t="str">
        <f>"06.530156-ТЭ"</f>
        <v>06.530156-ТЭ</v>
      </c>
      <c r="C234" s="51" t="s">
        <v>190</v>
      </c>
      <c r="D234" s="52"/>
      <c r="E234" s="53" t="s">
        <v>297</v>
      </c>
      <c r="F234" s="54" t="s">
        <v>17</v>
      </c>
      <c r="G234" s="55" t="s">
        <v>189</v>
      </c>
      <c r="H234" s="56">
        <v>1.0000000009313226E-2</v>
      </c>
      <c r="I234" s="54" t="s">
        <v>141</v>
      </c>
      <c r="J234" s="57">
        <v>42460</v>
      </c>
    </row>
    <row r="235" spans="1:10" ht="26.25" hidden="1">
      <c r="A235" s="51" t="s">
        <v>298</v>
      </c>
      <c r="B235" s="51" t="str">
        <f>"06.300038-ТЭ"</f>
        <v>06.300038-ТЭ</v>
      </c>
      <c r="C235" s="51" t="s">
        <v>129</v>
      </c>
      <c r="D235" s="52"/>
      <c r="E235" s="53" t="s">
        <v>299</v>
      </c>
      <c r="F235" s="54" t="s">
        <v>17</v>
      </c>
      <c r="G235" s="55" t="s">
        <v>148</v>
      </c>
      <c r="H235" s="56">
        <v>767197.88</v>
      </c>
      <c r="I235" s="54" t="s">
        <v>19</v>
      </c>
      <c r="J235" s="57">
        <v>42460</v>
      </c>
    </row>
    <row r="236" spans="1:10" ht="51.75" hidden="1">
      <c r="A236" s="51" t="s">
        <v>298</v>
      </c>
      <c r="B236" s="51" t="str">
        <f>"06.518445-ТЭ"</f>
        <v>06.518445-ТЭ</v>
      </c>
      <c r="C236" s="51" t="s">
        <v>24</v>
      </c>
      <c r="D236" s="52"/>
      <c r="E236" s="53" t="s">
        <v>300</v>
      </c>
      <c r="F236" s="54" t="s">
        <v>17</v>
      </c>
      <c r="G236" s="55" t="s">
        <v>22</v>
      </c>
      <c r="H236" s="56">
        <v>1440419.1099999999</v>
      </c>
      <c r="I236" s="54" t="s">
        <v>301</v>
      </c>
      <c r="J236" s="57">
        <v>42460</v>
      </c>
    </row>
    <row r="237" spans="1:10" ht="51.75" hidden="1">
      <c r="A237" s="51" t="s">
        <v>298</v>
      </c>
      <c r="B237" s="51" t="str">
        <f>"06.518445ГВС"</f>
        <v>06.518445ГВС</v>
      </c>
      <c r="C237" s="51" t="s">
        <v>24</v>
      </c>
      <c r="D237" s="52"/>
      <c r="E237" s="53" t="s">
        <v>300</v>
      </c>
      <c r="F237" s="54" t="s">
        <v>17</v>
      </c>
      <c r="G237" s="55" t="s">
        <v>22</v>
      </c>
      <c r="H237" s="56">
        <v>652391.71</v>
      </c>
      <c r="I237" s="54" t="s">
        <v>48</v>
      </c>
      <c r="J237" s="57">
        <v>42460</v>
      </c>
    </row>
    <row r="238" spans="1:10" ht="51.75" hidden="1">
      <c r="A238" s="51" t="s">
        <v>298</v>
      </c>
      <c r="B238" s="51" t="str">
        <f>"06.523376-ТЭ"</f>
        <v>06.523376-ТЭ</v>
      </c>
      <c r="C238" s="51" t="s">
        <v>24</v>
      </c>
      <c r="D238" s="52"/>
      <c r="E238" s="53" t="s">
        <v>300</v>
      </c>
      <c r="F238" s="54" t="s">
        <v>17</v>
      </c>
      <c r="G238" s="55" t="s">
        <v>26</v>
      </c>
      <c r="H238" s="56">
        <v>402963.26999999996</v>
      </c>
      <c r="I238" s="54" t="s">
        <v>27</v>
      </c>
      <c r="J238" s="57">
        <v>42460</v>
      </c>
    </row>
    <row r="239" spans="1:10" ht="51.75" hidden="1">
      <c r="A239" s="51" t="s">
        <v>298</v>
      </c>
      <c r="B239" s="51" t="str">
        <f>"06.523376ГВС"</f>
        <v>06.523376ГВС</v>
      </c>
      <c r="C239" s="51" t="s">
        <v>24</v>
      </c>
      <c r="D239" s="52"/>
      <c r="E239" s="53" t="s">
        <v>300</v>
      </c>
      <c r="F239" s="54" t="s">
        <v>17</v>
      </c>
      <c r="G239" s="55" t="s">
        <v>26</v>
      </c>
      <c r="H239" s="56">
        <v>673476.75</v>
      </c>
      <c r="I239" s="54" t="s">
        <v>33</v>
      </c>
      <c r="J239" s="57">
        <v>42460</v>
      </c>
    </row>
    <row r="240" spans="1:10" ht="51.75" hidden="1">
      <c r="A240" s="51" t="s">
        <v>298</v>
      </c>
      <c r="B240" s="51" t="str">
        <f>"06.545332-ТЭ"</f>
        <v>06.545332-ТЭ</v>
      </c>
      <c r="C240" s="51" t="s">
        <v>302</v>
      </c>
      <c r="D240" s="52" t="s">
        <v>303</v>
      </c>
      <c r="E240" s="58" t="s">
        <v>304</v>
      </c>
      <c r="F240" s="54" t="s">
        <v>70</v>
      </c>
      <c r="G240" s="55" t="s">
        <v>210</v>
      </c>
      <c r="H240" s="56">
        <v>3030760.85</v>
      </c>
      <c r="I240" s="54" t="s">
        <v>182</v>
      </c>
      <c r="J240" s="54" t="s">
        <v>48</v>
      </c>
    </row>
    <row r="241" spans="1:10" ht="51.75" hidden="1">
      <c r="A241" s="51" t="s">
        <v>298</v>
      </c>
      <c r="B241" s="51" t="str">
        <f>"06.545332ГВС"</f>
        <v>06.545332ГВС</v>
      </c>
      <c r="C241" s="51" t="s">
        <v>302</v>
      </c>
      <c r="D241" s="52" t="s">
        <v>303</v>
      </c>
      <c r="E241" s="58" t="s">
        <v>304</v>
      </c>
      <c r="F241" s="54" t="s">
        <v>70</v>
      </c>
      <c r="G241" s="55" t="s">
        <v>210</v>
      </c>
      <c r="H241" s="56">
        <v>1339769.08</v>
      </c>
      <c r="I241" s="54" t="s">
        <v>71</v>
      </c>
      <c r="J241" s="54" t="s">
        <v>303</v>
      </c>
    </row>
    <row r="242" spans="1:10" ht="51.75" hidden="1">
      <c r="A242" s="51" t="s">
        <v>298</v>
      </c>
      <c r="B242" s="51" t="str">
        <f>"06.545342ГВС"</f>
        <v>06.545342ГВС</v>
      </c>
      <c r="C242" s="51" t="s">
        <v>20</v>
      </c>
      <c r="D242" s="52" t="s">
        <v>115</v>
      </c>
      <c r="E242" s="58" t="s">
        <v>305</v>
      </c>
      <c r="F242" s="54" t="s">
        <v>70</v>
      </c>
      <c r="G242" s="55" t="s">
        <v>210</v>
      </c>
      <c r="H242" s="56">
        <v>410115.5</v>
      </c>
      <c r="I242" s="54" t="s">
        <v>74</v>
      </c>
      <c r="J242" s="54" t="s">
        <v>115</v>
      </c>
    </row>
    <row r="243" spans="1:10" ht="51.75" hidden="1">
      <c r="A243" s="51" t="s">
        <v>298</v>
      </c>
      <c r="B243" s="51" t="str">
        <f>"06.547061-ТЭ"</f>
        <v>06.547061-ТЭ</v>
      </c>
      <c r="C243" s="51" t="s">
        <v>79</v>
      </c>
      <c r="D243" s="52"/>
      <c r="E243" s="53" t="s">
        <v>300</v>
      </c>
      <c r="F243" s="54" t="s">
        <v>17</v>
      </c>
      <c r="G243" s="55" t="s">
        <v>189</v>
      </c>
      <c r="H243" s="56">
        <v>3516635.33</v>
      </c>
      <c r="I243" s="54" t="s">
        <v>303</v>
      </c>
      <c r="J243" s="57">
        <v>42460</v>
      </c>
    </row>
    <row r="244" spans="1:10" ht="26.25" hidden="1">
      <c r="A244" s="51" t="s">
        <v>306</v>
      </c>
      <c r="B244" s="51" t="str">
        <f>"06.300030-ТЭ"</f>
        <v>06.300030-ТЭ</v>
      </c>
      <c r="C244" s="51" t="s">
        <v>307</v>
      </c>
      <c r="D244" s="52"/>
      <c r="E244" s="53" t="s">
        <v>308</v>
      </c>
      <c r="F244" s="54" t="s">
        <v>17</v>
      </c>
      <c r="G244" s="55" t="s">
        <v>193</v>
      </c>
      <c r="H244" s="56">
        <v>888535.74999999988</v>
      </c>
      <c r="I244" s="54" t="s">
        <v>19</v>
      </c>
      <c r="J244" s="57">
        <v>42460</v>
      </c>
    </row>
    <row r="245" spans="1:10" ht="39" hidden="1">
      <c r="A245" s="51" t="s">
        <v>306</v>
      </c>
      <c r="B245" s="51" t="str">
        <f>"06.300050-ТЭ"</f>
        <v>06.300050-ТЭ</v>
      </c>
      <c r="C245" s="51" t="s">
        <v>185</v>
      </c>
      <c r="D245" s="52"/>
      <c r="E245" s="53" t="s">
        <v>309</v>
      </c>
      <c r="F245" s="54" t="s">
        <v>17</v>
      </c>
      <c r="G245" s="55" t="s">
        <v>199</v>
      </c>
      <c r="H245" s="56">
        <v>2713681.4899999998</v>
      </c>
      <c r="I245" s="54" t="s">
        <v>65</v>
      </c>
      <c r="J245" s="57">
        <v>42460</v>
      </c>
    </row>
    <row r="246" spans="1:10" ht="39" hidden="1">
      <c r="A246" s="51" t="s">
        <v>306</v>
      </c>
      <c r="B246" s="51" t="str">
        <f>"06.300051-ТЭ"</f>
        <v>06.300051-ТЭ</v>
      </c>
      <c r="C246" s="51" t="s">
        <v>185</v>
      </c>
      <c r="D246" s="52"/>
      <c r="E246" s="53" t="s">
        <v>309</v>
      </c>
      <c r="F246" s="54" t="s">
        <v>17</v>
      </c>
      <c r="G246" s="55" t="s">
        <v>199</v>
      </c>
      <c r="H246" s="56">
        <v>7220209.5800000001</v>
      </c>
      <c r="I246" s="54" t="s">
        <v>65</v>
      </c>
      <c r="J246" s="57">
        <v>42460</v>
      </c>
    </row>
    <row r="247" spans="1:10" ht="51.75" hidden="1">
      <c r="A247" s="51" t="s">
        <v>306</v>
      </c>
      <c r="B247" s="51" t="str">
        <f>"06.510250-ТЭ"</f>
        <v>06.510250-ТЭ</v>
      </c>
      <c r="C247" s="51" t="s">
        <v>101</v>
      </c>
      <c r="D247" s="52"/>
      <c r="E247" s="53" t="s">
        <v>310</v>
      </c>
      <c r="F247" s="54" t="s">
        <v>17</v>
      </c>
      <c r="G247" s="55" t="s">
        <v>40</v>
      </c>
      <c r="H247" s="56">
        <v>882347.96</v>
      </c>
      <c r="I247" s="54" t="s">
        <v>23</v>
      </c>
      <c r="J247" s="57">
        <v>42460</v>
      </c>
    </row>
    <row r="248" spans="1:10" ht="51.75" hidden="1">
      <c r="A248" s="51" t="s">
        <v>306</v>
      </c>
      <c r="B248" s="51" t="str">
        <f>"06.510250ГВС"</f>
        <v>06.510250ГВС</v>
      </c>
      <c r="C248" s="51" t="s">
        <v>101</v>
      </c>
      <c r="D248" s="52"/>
      <c r="E248" s="53" t="s">
        <v>310</v>
      </c>
      <c r="F248" s="54" t="s">
        <v>17</v>
      </c>
      <c r="G248" s="55" t="s">
        <v>40</v>
      </c>
      <c r="H248" s="56">
        <v>421531.52999999997</v>
      </c>
      <c r="I248" s="54" t="s">
        <v>23</v>
      </c>
      <c r="J248" s="57">
        <v>42460</v>
      </c>
    </row>
    <row r="249" spans="1:10" ht="26.25" hidden="1">
      <c r="A249" s="51" t="s">
        <v>306</v>
      </c>
      <c r="B249" s="51" t="str">
        <f>"06.513023-ТЭ"</f>
        <v>06.513023-ТЭ</v>
      </c>
      <c r="C249" s="51" t="s">
        <v>311</v>
      </c>
      <c r="D249" s="52"/>
      <c r="E249" s="53" t="s">
        <v>310</v>
      </c>
      <c r="F249" s="54" t="s">
        <v>17</v>
      </c>
      <c r="G249" s="55" t="s">
        <v>97</v>
      </c>
      <c r="H249" s="56">
        <v>470855.66000000003</v>
      </c>
      <c r="I249" s="54" t="s">
        <v>23</v>
      </c>
      <c r="J249" s="57">
        <v>42460</v>
      </c>
    </row>
    <row r="250" spans="1:10" ht="39" hidden="1">
      <c r="A250" s="51" t="s">
        <v>306</v>
      </c>
      <c r="B250" s="51" t="str">
        <f>"06.518465ГВС"</f>
        <v>06.518465ГВС</v>
      </c>
      <c r="C250" s="51" t="s">
        <v>312</v>
      </c>
      <c r="D250" s="52" t="s">
        <v>313</v>
      </c>
      <c r="E250" s="58" t="s">
        <v>314</v>
      </c>
      <c r="F250" s="54" t="s">
        <v>70</v>
      </c>
      <c r="G250" s="55" t="s">
        <v>22</v>
      </c>
      <c r="H250" s="56">
        <v>1672448.18</v>
      </c>
      <c r="I250" s="54" t="s">
        <v>315</v>
      </c>
      <c r="J250" s="54" t="s">
        <v>313</v>
      </c>
    </row>
    <row r="251" spans="1:10" ht="51.75" hidden="1">
      <c r="A251" s="51" t="s">
        <v>306</v>
      </c>
      <c r="B251" s="51" t="str">
        <f>"06.518504-ТЭ"</f>
        <v>06.518504-ТЭ</v>
      </c>
      <c r="C251" s="51" t="s">
        <v>307</v>
      </c>
      <c r="D251" s="52"/>
      <c r="E251" s="53" t="s">
        <v>316</v>
      </c>
      <c r="F251" s="54" t="s">
        <v>17</v>
      </c>
      <c r="G251" s="55" t="s">
        <v>40</v>
      </c>
      <c r="H251" s="56">
        <v>363605.03</v>
      </c>
      <c r="I251" s="54" t="s">
        <v>19</v>
      </c>
      <c r="J251" s="57">
        <v>42460</v>
      </c>
    </row>
    <row r="252" spans="1:10" ht="51.75" hidden="1">
      <c r="A252" s="51" t="s">
        <v>306</v>
      </c>
      <c r="B252" s="51" t="str">
        <f>"06.518504ГВС"</f>
        <v>06.518504ГВС</v>
      </c>
      <c r="C252" s="51" t="s">
        <v>307</v>
      </c>
      <c r="D252" s="52"/>
      <c r="E252" s="53" t="s">
        <v>316</v>
      </c>
      <c r="F252" s="54" t="s">
        <v>17</v>
      </c>
      <c r="G252" s="55" t="s">
        <v>40</v>
      </c>
      <c r="H252" s="56">
        <v>142267.79999999996</v>
      </c>
      <c r="I252" s="54" t="s">
        <v>19</v>
      </c>
      <c r="J252" s="57">
        <v>42460</v>
      </c>
    </row>
    <row r="253" spans="1:10" ht="26.25" hidden="1">
      <c r="A253" s="51" t="s">
        <v>306</v>
      </c>
      <c r="B253" s="51" t="str">
        <f>"06.520402-ТЭ"</f>
        <v>06.520402-ТЭ</v>
      </c>
      <c r="C253" s="51" t="s">
        <v>317</v>
      </c>
      <c r="D253" s="52"/>
      <c r="E253" s="53" t="s">
        <v>318</v>
      </c>
      <c r="F253" s="54" t="s">
        <v>17</v>
      </c>
      <c r="G253" s="55" t="s">
        <v>126</v>
      </c>
      <c r="H253" s="56">
        <v>1815531.39</v>
      </c>
      <c r="I253" s="54" t="s">
        <v>319</v>
      </c>
      <c r="J253" s="57">
        <v>42460</v>
      </c>
    </row>
    <row r="254" spans="1:10" ht="26.25" hidden="1">
      <c r="A254" s="51" t="s">
        <v>306</v>
      </c>
      <c r="B254" s="51" t="str">
        <f>"06.520402ГВС"</f>
        <v>06.520402ГВС</v>
      </c>
      <c r="C254" s="51" t="s">
        <v>317</v>
      </c>
      <c r="D254" s="52"/>
      <c r="E254" s="53" t="s">
        <v>318</v>
      </c>
      <c r="F254" s="54" t="s">
        <v>17</v>
      </c>
      <c r="G254" s="55" t="s">
        <v>126</v>
      </c>
      <c r="H254" s="56">
        <v>224574.60000000003</v>
      </c>
      <c r="I254" s="54" t="s">
        <v>301</v>
      </c>
      <c r="J254" s="57">
        <v>42460</v>
      </c>
    </row>
    <row r="255" spans="1:10" ht="39" hidden="1">
      <c r="A255" s="51" t="s">
        <v>306</v>
      </c>
      <c r="B255" s="51" t="str">
        <f>"06.520435-ТЭ"</f>
        <v>06.520435-ТЭ</v>
      </c>
      <c r="C255" s="51" t="s">
        <v>135</v>
      </c>
      <c r="D255" s="52"/>
      <c r="E255" s="53" t="s">
        <v>320</v>
      </c>
      <c r="F255" s="54" t="s">
        <v>17</v>
      </c>
      <c r="G255" s="55" t="s">
        <v>126</v>
      </c>
      <c r="H255" s="56">
        <v>304560.3899999999</v>
      </c>
      <c r="I255" s="54" t="s">
        <v>23</v>
      </c>
      <c r="J255" s="57">
        <v>42460</v>
      </c>
    </row>
    <row r="256" spans="1:10" ht="51.75" hidden="1">
      <c r="A256" s="51" t="s">
        <v>306</v>
      </c>
      <c r="B256" s="51" t="str">
        <f>"06.523344-ТЭ"</f>
        <v>06.523344-ТЭ</v>
      </c>
      <c r="C256" s="51" t="s">
        <v>321</v>
      </c>
      <c r="D256" s="52"/>
      <c r="E256" s="53" t="s">
        <v>322</v>
      </c>
      <c r="F256" s="54" t="s">
        <v>17</v>
      </c>
      <c r="G256" s="55" t="s">
        <v>26</v>
      </c>
      <c r="H256" s="56">
        <v>1038552.65</v>
      </c>
      <c r="I256" s="54" t="s">
        <v>27</v>
      </c>
      <c r="J256" s="57">
        <v>42460</v>
      </c>
    </row>
    <row r="257" spans="1:10" ht="51.75" hidden="1">
      <c r="A257" s="51" t="s">
        <v>306</v>
      </c>
      <c r="B257" s="51" t="str">
        <f>"06.523344ГВС"</f>
        <v>06.523344ГВС</v>
      </c>
      <c r="C257" s="51" t="s">
        <v>178</v>
      </c>
      <c r="D257" s="52"/>
      <c r="E257" s="53" t="s">
        <v>322</v>
      </c>
      <c r="F257" s="54" t="s">
        <v>17</v>
      </c>
      <c r="G257" s="55" t="s">
        <v>26</v>
      </c>
      <c r="H257" s="56">
        <v>976594.25</v>
      </c>
      <c r="I257" s="54" t="s">
        <v>48</v>
      </c>
      <c r="J257" s="57">
        <v>42460</v>
      </c>
    </row>
    <row r="258" spans="1:10" ht="51.75" hidden="1">
      <c r="A258" s="51" t="s">
        <v>306</v>
      </c>
      <c r="B258" s="51" t="str">
        <f>"06.523387-ТЭ"</f>
        <v>06.523387-ТЭ</v>
      </c>
      <c r="C258" s="51" t="s">
        <v>166</v>
      </c>
      <c r="D258" s="52"/>
      <c r="E258" s="53" t="s">
        <v>323</v>
      </c>
      <c r="F258" s="54" t="s">
        <v>17</v>
      </c>
      <c r="G258" s="55" t="s">
        <v>26</v>
      </c>
      <c r="H258" s="56">
        <v>2256769.12</v>
      </c>
      <c r="I258" s="54" t="s">
        <v>23</v>
      </c>
      <c r="J258" s="57">
        <v>42460</v>
      </c>
    </row>
    <row r="259" spans="1:10" ht="51.75" hidden="1">
      <c r="A259" s="51" t="s">
        <v>306</v>
      </c>
      <c r="B259" s="51" t="str">
        <f>"06.523389-ТЭ"</f>
        <v>06.523389-ТЭ</v>
      </c>
      <c r="C259" s="51" t="s">
        <v>118</v>
      </c>
      <c r="D259" s="52"/>
      <c r="E259" s="53" t="s">
        <v>324</v>
      </c>
      <c r="F259" s="54" t="s">
        <v>17</v>
      </c>
      <c r="G259" s="55" t="s">
        <v>26</v>
      </c>
      <c r="H259" s="56">
        <v>3509038.7199999997</v>
      </c>
      <c r="I259" s="54" t="s">
        <v>28</v>
      </c>
      <c r="J259" s="57">
        <v>42460</v>
      </c>
    </row>
    <row r="260" spans="1:10" ht="51.75" hidden="1">
      <c r="A260" s="51" t="s">
        <v>306</v>
      </c>
      <c r="B260" s="51" t="str">
        <f>"06.523389ГВС"</f>
        <v>06.523389ГВС</v>
      </c>
      <c r="C260" s="51" t="s">
        <v>118</v>
      </c>
      <c r="D260" s="52"/>
      <c r="E260" s="53" t="s">
        <v>324</v>
      </c>
      <c r="F260" s="54" t="s">
        <v>17</v>
      </c>
      <c r="G260" s="55" t="s">
        <v>26</v>
      </c>
      <c r="H260" s="56">
        <v>2391004.0699999998</v>
      </c>
      <c r="I260" s="54" t="s">
        <v>141</v>
      </c>
      <c r="J260" s="57">
        <v>42460</v>
      </c>
    </row>
    <row r="261" spans="1:10" ht="51.75" hidden="1">
      <c r="A261" s="51" t="s">
        <v>306</v>
      </c>
      <c r="B261" s="51" t="str">
        <f>"06.523400-ТЭ"</f>
        <v>06.523400-ТЭ</v>
      </c>
      <c r="C261" s="51" t="s">
        <v>325</v>
      </c>
      <c r="D261" s="52"/>
      <c r="E261" s="53" t="s">
        <v>323</v>
      </c>
      <c r="F261" s="54" t="s">
        <v>17</v>
      </c>
      <c r="G261" s="55" t="s">
        <v>26</v>
      </c>
      <c r="H261" s="56">
        <v>654727.12000000011</v>
      </c>
      <c r="I261" s="54" t="s">
        <v>23</v>
      </c>
      <c r="J261" s="57">
        <v>42460</v>
      </c>
    </row>
    <row r="262" spans="1:10" ht="51.75" hidden="1">
      <c r="A262" s="51" t="s">
        <v>306</v>
      </c>
      <c r="B262" s="51" t="str">
        <f>"06.523402-ТЭ"</f>
        <v>06.523402-ТЭ</v>
      </c>
      <c r="C262" s="51" t="s">
        <v>326</v>
      </c>
      <c r="D262" s="52"/>
      <c r="E262" s="53" t="s">
        <v>323</v>
      </c>
      <c r="F262" s="54" t="s">
        <v>17</v>
      </c>
      <c r="G262" s="55" t="s">
        <v>26</v>
      </c>
      <c r="H262" s="56">
        <v>734458.65</v>
      </c>
      <c r="I262" s="54" t="s">
        <v>23</v>
      </c>
      <c r="J262" s="57">
        <v>42460</v>
      </c>
    </row>
    <row r="263" spans="1:10" ht="51.75" hidden="1">
      <c r="A263" s="51" t="s">
        <v>306</v>
      </c>
      <c r="B263" s="51" t="str">
        <f>"06.523421-ТЭ"</f>
        <v>06.523421-ТЭ</v>
      </c>
      <c r="C263" s="51" t="s">
        <v>327</v>
      </c>
      <c r="D263" s="52"/>
      <c r="E263" s="53" t="s">
        <v>323</v>
      </c>
      <c r="F263" s="54" t="s">
        <v>17</v>
      </c>
      <c r="G263" s="55" t="s">
        <v>26</v>
      </c>
      <c r="H263" s="56">
        <v>3823532.2099999995</v>
      </c>
      <c r="I263" s="54" t="s">
        <v>23</v>
      </c>
      <c r="J263" s="57">
        <v>42460</v>
      </c>
    </row>
    <row r="264" spans="1:10" ht="51.75" hidden="1">
      <c r="A264" s="51" t="s">
        <v>306</v>
      </c>
      <c r="B264" s="51" t="str">
        <f>"06.523425-ТЭ"</f>
        <v>06.523425-ТЭ</v>
      </c>
      <c r="C264" s="51" t="s">
        <v>302</v>
      </c>
      <c r="D264" s="52" t="s">
        <v>31</v>
      </c>
      <c r="E264" s="58" t="s">
        <v>328</v>
      </c>
      <c r="F264" s="54" t="s">
        <v>70</v>
      </c>
      <c r="G264" s="55" t="s">
        <v>26</v>
      </c>
      <c r="H264" s="56">
        <v>4300217.3099999996</v>
      </c>
      <c r="I264" s="54" t="s">
        <v>141</v>
      </c>
      <c r="J264" s="54" t="s">
        <v>31</v>
      </c>
    </row>
    <row r="265" spans="1:10" ht="51.75" hidden="1">
      <c r="A265" s="51" t="s">
        <v>306</v>
      </c>
      <c r="B265" s="51" t="str">
        <f>"06.523430-ТЭ"</f>
        <v>06.523430-ТЭ</v>
      </c>
      <c r="C265" s="51" t="s">
        <v>131</v>
      </c>
      <c r="D265" s="52" t="s">
        <v>65</v>
      </c>
      <c r="E265" s="58" t="s">
        <v>328</v>
      </c>
      <c r="F265" s="54" t="s">
        <v>70</v>
      </c>
      <c r="G265" s="55" t="s">
        <v>26</v>
      </c>
      <c r="H265" s="56">
        <v>1127723.06</v>
      </c>
      <c r="I265" s="54" t="s">
        <v>141</v>
      </c>
      <c r="J265" s="54" t="s">
        <v>65</v>
      </c>
    </row>
    <row r="266" spans="1:10" ht="51.75" hidden="1">
      <c r="A266" s="51" t="s">
        <v>306</v>
      </c>
      <c r="B266" s="51" t="str">
        <f>"06.523431-ТЭ"</f>
        <v>06.523431-ТЭ</v>
      </c>
      <c r="C266" s="51" t="s">
        <v>131</v>
      </c>
      <c r="D266" s="52" t="s">
        <v>31</v>
      </c>
      <c r="E266" s="58" t="s">
        <v>328</v>
      </c>
      <c r="F266" s="54" t="s">
        <v>70</v>
      </c>
      <c r="G266" s="55" t="s">
        <v>26</v>
      </c>
      <c r="H266" s="56">
        <v>8177302.3099999996</v>
      </c>
      <c r="I266" s="54" t="s">
        <v>141</v>
      </c>
      <c r="J266" s="54" t="s">
        <v>31</v>
      </c>
    </row>
    <row r="267" spans="1:10" ht="51.75" hidden="1">
      <c r="A267" s="51" t="s">
        <v>306</v>
      </c>
      <c r="B267" s="51" t="str">
        <f>"06.523438-ТЭ"</f>
        <v>06.523438-ТЭ</v>
      </c>
      <c r="C267" s="51" t="s">
        <v>259</v>
      </c>
      <c r="D267" s="52" t="s">
        <v>31</v>
      </c>
      <c r="E267" s="58" t="s">
        <v>328</v>
      </c>
      <c r="F267" s="54" t="s">
        <v>70</v>
      </c>
      <c r="G267" s="55" t="s">
        <v>26</v>
      </c>
      <c r="H267" s="56">
        <v>11611466.01</v>
      </c>
      <c r="I267" s="54" t="s">
        <v>141</v>
      </c>
      <c r="J267" s="54" t="s">
        <v>31</v>
      </c>
    </row>
    <row r="268" spans="1:10" ht="51.75" hidden="1">
      <c r="A268" s="51" t="s">
        <v>306</v>
      </c>
      <c r="B268" s="51" t="str">
        <f>"06.523446-ТЭ"</f>
        <v>06.523446-ТЭ</v>
      </c>
      <c r="C268" s="51" t="s">
        <v>329</v>
      </c>
      <c r="D268" s="52"/>
      <c r="E268" s="53" t="s">
        <v>330</v>
      </c>
      <c r="F268" s="54" t="s">
        <v>17</v>
      </c>
      <c r="G268" s="55" t="s">
        <v>26</v>
      </c>
      <c r="H268" s="56">
        <v>2014502.29</v>
      </c>
      <c r="I268" s="54" t="s">
        <v>27</v>
      </c>
      <c r="J268" s="57">
        <v>42460</v>
      </c>
    </row>
    <row r="269" spans="1:10" ht="51.75" hidden="1">
      <c r="A269" s="51" t="s">
        <v>306</v>
      </c>
      <c r="B269" s="51" t="str">
        <f>"06.523451-ТЭ"</f>
        <v>06.523451-ТЭ</v>
      </c>
      <c r="C269" s="51" t="s">
        <v>331</v>
      </c>
      <c r="D269" s="52"/>
      <c r="E269" s="53" t="s">
        <v>332</v>
      </c>
      <c r="F269" s="54" t="s">
        <v>17</v>
      </c>
      <c r="G269" s="55" t="s">
        <v>26</v>
      </c>
      <c r="H269" s="56">
        <v>24380928.990000002</v>
      </c>
      <c r="I269" s="54" t="s">
        <v>28</v>
      </c>
      <c r="J269" s="57">
        <v>42460</v>
      </c>
    </row>
    <row r="270" spans="1:10" hidden="1">
      <c r="A270" s="51" t="s">
        <v>306</v>
      </c>
      <c r="B270" s="51" t="str">
        <f>"06.530222ГВС"</f>
        <v>06.530222ГВС</v>
      </c>
      <c r="C270" s="51" t="s">
        <v>24</v>
      </c>
      <c r="D270" s="52"/>
      <c r="E270" s="53" t="s">
        <v>333</v>
      </c>
      <c r="F270" s="54" t="s">
        <v>17</v>
      </c>
      <c r="G270" s="55" t="s">
        <v>193</v>
      </c>
      <c r="H270" s="56">
        <v>921.77999999999975</v>
      </c>
      <c r="I270" s="54" t="s">
        <v>31</v>
      </c>
      <c r="J270" s="57">
        <v>42460</v>
      </c>
    </row>
    <row r="271" spans="1:10" ht="26.25" hidden="1">
      <c r="A271" s="51" t="s">
        <v>306</v>
      </c>
      <c r="B271" s="51" t="str">
        <f>"06.530337-ТЭ"</f>
        <v>06.530337-ТЭ</v>
      </c>
      <c r="C271" s="51" t="s">
        <v>334</v>
      </c>
      <c r="D271" s="52"/>
      <c r="E271" s="53" t="s">
        <v>335</v>
      </c>
      <c r="F271" s="54" t="s">
        <v>17</v>
      </c>
      <c r="G271" s="55" t="s">
        <v>193</v>
      </c>
      <c r="H271" s="56">
        <v>53869043.909999996</v>
      </c>
      <c r="I271" s="54" t="s">
        <v>90</v>
      </c>
      <c r="J271" s="57">
        <v>42460</v>
      </c>
    </row>
    <row r="272" spans="1:10" ht="26.25" hidden="1">
      <c r="A272" s="51" t="s">
        <v>306</v>
      </c>
      <c r="B272" s="51" t="str">
        <f>"06.530337ГВС"</f>
        <v>06.530337ГВС</v>
      </c>
      <c r="C272" s="51" t="s">
        <v>334</v>
      </c>
      <c r="D272" s="52"/>
      <c r="E272" s="53" t="s">
        <v>335</v>
      </c>
      <c r="F272" s="54" t="s">
        <v>17</v>
      </c>
      <c r="G272" s="55" t="s">
        <v>193</v>
      </c>
      <c r="H272" s="56">
        <v>21690301.400000002</v>
      </c>
      <c r="I272" s="54" t="s">
        <v>48</v>
      </c>
      <c r="J272" s="57">
        <v>42460</v>
      </c>
    </row>
    <row r="273" spans="1:10" ht="26.25" hidden="1">
      <c r="A273" s="51" t="s">
        <v>306</v>
      </c>
      <c r="B273" s="51" t="str">
        <f>"06.530339-ТЭ"</f>
        <v>06.530339-ТЭ</v>
      </c>
      <c r="C273" s="51" t="s">
        <v>334</v>
      </c>
      <c r="D273" s="52" t="s">
        <v>336</v>
      </c>
      <c r="E273" s="58" t="s">
        <v>337</v>
      </c>
      <c r="F273" s="54" t="s">
        <v>70</v>
      </c>
      <c r="G273" s="55" t="s">
        <v>193</v>
      </c>
      <c r="H273" s="56">
        <v>4821838.57</v>
      </c>
      <c r="I273" s="54" t="s">
        <v>338</v>
      </c>
      <c r="J273" s="54" t="s">
        <v>67</v>
      </c>
    </row>
    <row r="274" spans="1:10" ht="26.25" hidden="1">
      <c r="A274" s="51" t="s">
        <v>306</v>
      </c>
      <c r="B274" s="51" t="str">
        <f>"06.530339ГВС"</f>
        <v>06.530339ГВС</v>
      </c>
      <c r="C274" s="51" t="s">
        <v>334</v>
      </c>
      <c r="D274" s="52" t="s">
        <v>336</v>
      </c>
      <c r="E274" s="58" t="s">
        <v>337</v>
      </c>
      <c r="F274" s="54" t="s">
        <v>70</v>
      </c>
      <c r="G274" s="55" t="s">
        <v>193</v>
      </c>
      <c r="H274" s="56">
        <v>1150639.29</v>
      </c>
      <c r="I274" s="54" t="s">
        <v>339</v>
      </c>
      <c r="J274" s="54" t="s">
        <v>336</v>
      </c>
    </row>
    <row r="275" spans="1:10" ht="51.75" hidden="1">
      <c r="A275" s="51" t="s">
        <v>306</v>
      </c>
      <c r="B275" s="51" t="str">
        <f>"06.530341ГВС"</f>
        <v>06.530341ГВС</v>
      </c>
      <c r="C275" s="51" t="s">
        <v>118</v>
      </c>
      <c r="D275" s="52" t="s">
        <v>67</v>
      </c>
      <c r="E275" s="58" t="s">
        <v>340</v>
      </c>
      <c r="F275" s="54" t="s">
        <v>70</v>
      </c>
      <c r="G275" s="55" t="s">
        <v>193</v>
      </c>
      <c r="H275" s="56">
        <v>324156.17</v>
      </c>
      <c r="I275" s="54" t="s">
        <v>339</v>
      </c>
      <c r="J275" s="54" t="s">
        <v>67</v>
      </c>
    </row>
    <row r="276" spans="1:10" ht="26.25" hidden="1">
      <c r="A276" s="51" t="s">
        <v>306</v>
      </c>
      <c r="B276" s="51" t="str">
        <f>"06.530411-ТЭ"</f>
        <v>06.530411-ТЭ</v>
      </c>
      <c r="C276" s="51" t="s">
        <v>341</v>
      </c>
      <c r="D276" s="52" t="s">
        <v>141</v>
      </c>
      <c r="E276" s="58" t="s">
        <v>342</v>
      </c>
      <c r="F276" s="54" t="s">
        <v>70</v>
      </c>
      <c r="G276" s="55" t="s">
        <v>18</v>
      </c>
      <c r="H276" s="56">
        <v>1018425.81</v>
      </c>
      <c r="I276" s="54" t="s">
        <v>33</v>
      </c>
      <c r="J276" s="54" t="s">
        <v>141</v>
      </c>
    </row>
    <row r="277" spans="1:10" ht="26.25" hidden="1">
      <c r="A277" s="51" t="s">
        <v>306</v>
      </c>
      <c r="B277" s="51" t="str">
        <f>"06.530411ГВС"</f>
        <v>06.530411ГВС</v>
      </c>
      <c r="C277" s="51" t="s">
        <v>341</v>
      </c>
      <c r="D277" s="52" t="s">
        <v>141</v>
      </c>
      <c r="E277" s="58" t="s">
        <v>342</v>
      </c>
      <c r="F277" s="54" t="s">
        <v>70</v>
      </c>
      <c r="G277" s="55" t="s">
        <v>18</v>
      </c>
      <c r="H277" s="56">
        <v>158036.62</v>
      </c>
      <c r="I277" s="54" t="s">
        <v>141</v>
      </c>
      <c r="J277" s="54" t="s">
        <v>141</v>
      </c>
    </row>
    <row r="278" spans="1:10" ht="26.25">
      <c r="A278" s="51" t="s">
        <v>306</v>
      </c>
      <c r="B278" s="51" t="str">
        <f>"06.530445-ТЭ"</f>
        <v>06.530445-ТЭ</v>
      </c>
      <c r="C278" s="51" t="s">
        <v>343</v>
      </c>
      <c r="D278" s="52"/>
      <c r="E278" s="53" t="s">
        <v>344</v>
      </c>
      <c r="F278" s="54" t="s">
        <v>17</v>
      </c>
      <c r="G278" s="55" t="s">
        <v>18</v>
      </c>
      <c r="H278" s="56">
        <v>185457.91</v>
      </c>
      <c r="I278" s="54" t="s">
        <v>19</v>
      </c>
      <c r="J278" s="57">
        <v>42460</v>
      </c>
    </row>
    <row r="279" spans="1:10" ht="26.25">
      <c r="A279" s="51" t="s">
        <v>306</v>
      </c>
      <c r="B279" s="51" t="str">
        <f>"06.530445ГВС"</f>
        <v>06.530445ГВС</v>
      </c>
      <c r="C279" s="51" t="s">
        <v>343</v>
      </c>
      <c r="D279" s="52"/>
      <c r="E279" s="53" t="s">
        <v>344</v>
      </c>
      <c r="F279" s="54" t="s">
        <v>17</v>
      </c>
      <c r="G279" s="55" t="s">
        <v>18</v>
      </c>
      <c r="H279" s="56">
        <v>249980.36999999997</v>
      </c>
      <c r="I279" s="54" t="s">
        <v>48</v>
      </c>
      <c r="J279" s="57">
        <v>42460</v>
      </c>
    </row>
    <row r="280" spans="1:10" ht="26.25" hidden="1">
      <c r="A280" s="51" t="s">
        <v>306</v>
      </c>
      <c r="B280" s="51" t="str">
        <f>"06.530448-ТЭ"</f>
        <v>06.530448-ТЭ</v>
      </c>
      <c r="C280" s="51" t="s">
        <v>185</v>
      </c>
      <c r="D280" s="52"/>
      <c r="E280" s="53" t="s">
        <v>308</v>
      </c>
      <c r="F280" s="54" t="s">
        <v>17</v>
      </c>
      <c r="G280" s="55" t="s">
        <v>18</v>
      </c>
      <c r="H280" s="56">
        <v>643836.44000000006</v>
      </c>
      <c r="I280" s="54" t="s">
        <v>19</v>
      </c>
      <c r="J280" s="57">
        <v>42460</v>
      </c>
    </row>
    <row r="281" spans="1:10" ht="26.25" hidden="1">
      <c r="A281" s="51" t="s">
        <v>306</v>
      </c>
      <c r="B281" s="51" t="str">
        <f>"06.530448ГВС"</f>
        <v>06.530448ГВС</v>
      </c>
      <c r="C281" s="51" t="s">
        <v>185</v>
      </c>
      <c r="D281" s="52"/>
      <c r="E281" s="53" t="s">
        <v>308</v>
      </c>
      <c r="F281" s="54" t="s">
        <v>17</v>
      </c>
      <c r="G281" s="55" t="s">
        <v>18</v>
      </c>
      <c r="H281" s="56">
        <v>272917.36</v>
      </c>
      <c r="I281" s="54" t="s">
        <v>19</v>
      </c>
      <c r="J281" s="57">
        <v>42460</v>
      </c>
    </row>
    <row r="282" spans="1:10" ht="39" hidden="1">
      <c r="A282" s="51" t="s">
        <v>306</v>
      </c>
      <c r="B282" s="51" t="str">
        <f>"06.540031-ТЭ"</f>
        <v>06.540031-ТЭ</v>
      </c>
      <c r="C282" s="51" t="s">
        <v>345</v>
      </c>
      <c r="D282" s="52"/>
      <c r="E282" s="53" t="s">
        <v>314</v>
      </c>
      <c r="F282" s="54" t="s">
        <v>17</v>
      </c>
      <c r="G282" s="55" t="s">
        <v>97</v>
      </c>
      <c r="H282" s="56">
        <v>1593232.8</v>
      </c>
      <c r="I282" s="54" t="s">
        <v>33</v>
      </c>
      <c r="J282" s="57">
        <v>42460</v>
      </c>
    </row>
    <row r="283" spans="1:10" ht="39" hidden="1">
      <c r="A283" s="51" t="s">
        <v>306</v>
      </c>
      <c r="B283" s="51" t="str">
        <f>"06.540036-ТЭ"</f>
        <v>06.540036-ТЭ</v>
      </c>
      <c r="C283" s="51" t="s">
        <v>346</v>
      </c>
      <c r="D283" s="52"/>
      <c r="E283" s="53" t="s">
        <v>314</v>
      </c>
      <c r="F283" s="54" t="s">
        <v>17</v>
      </c>
      <c r="G283" s="55" t="s">
        <v>97</v>
      </c>
      <c r="H283" s="56">
        <v>3141942.11</v>
      </c>
      <c r="I283" s="54" t="s">
        <v>56</v>
      </c>
      <c r="J283" s="57">
        <v>42460</v>
      </c>
    </row>
    <row r="284" spans="1:10" ht="39" hidden="1">
      <c r="A284" s="51" t="s">
        <v>306</v>
      </c>
      <c r="B284" s="51" t="str">
        <f>"06.544182-ТЭ"</f>
        <v>06.544182-ТЭ</v>
      </c>
      <c r="C284" s="51" t="s">
        <v>24</v>
      </c>
      <c r="D284" s="52"/>
      <c r="E284" s="53" t="s">
        <v>347</v>
      </c>
      <c r="F284" s="54" t="s">
        <v>17</v>
      </c>
      <c r="G284" s="55" t="s">
        <v>189</v>
      </c>
      <c r="H284" s="56">
        <v>930772.2</v>
      </c>
      <c r="I284" s="54" t="s">
        <v>28</v>
      </c>
      <c r="J284" s="57">
        <v>42460</v>
      </c>
    </row>
    <row r="285" spans="1:10" ht="39" hidden="1">
      <c r="A285" s="51" t="s">
        <v>306</v>
      </c>
      <c r="B285" s="51" t="str">
        <f>"06.544182ГВС"</f>
        <v>06.544182ГВС</v>
      </c>
      <c r="C285" s="51" t="s">
        <v>24</v>
      </c>
      <c r="D285" s="52"/>
      <c r="E285" s="53" t="s">
        <v>347</v>
      </c>
      <c r="F285" s="54" t="s">
        <v>17</v>
      </c>
      <c r="G285" s="55" t="s">
        <v>189</v>
      </c>
      <c r="H285" s="56">
        <v>541405.30999999994</v>
      </c>
      <c r="I285" s="54" t="s">
        <v>48</v>
      </c>
      <c r="J285" s="57">
        <v>42460</v>
      </c>
    </row>
    <row r="286" spans="1:10" ht="51.75" hidden="1">
      <c r="A286" s="51" t="s">
        <v>306</v>
      </c>
      <c r="B286" s="51" t="str">
        <f>"06.545320-ТЭ"</f>
        <v>06.545320-ТЭ</v>
      </c>
      <c r="C286" s="51" t="s">
        <v>348</v>
      </c>
      <c r="D286" s="52"/>
      <c r="E286" s="53" t="s">
        <v>349</v>
      </c>
      <c r="F286" s="54" t="s">
        <v>17</v>
      </c>
      <c r="G286" s="55" t="s">
        <v>210</v>
      </c>
      <c r="H286" s="56">
        <v>1190430.1299999999</v>
      </c>
      <c r="I286" s="54" t="s">
        <v>141</v>
      </c>
      <c r="J286" s="57">
        <v>42460</v>
      </c>
    </row>
    <row r="287" spans="1:10" ht="51.75" hidden="1">
      <c r="A287" s="51" t="s">
        <v>306</v>
      </c>
      <c r="B287" s="51" t="str">
        <f>"06.545330-ТЭ"</f>
        <v>06.545330-ТЭ</v>
      </c>
      <c r="C287" s="51" t="s">
        <v>350</v>
      </c>
      <c r="D287" s="52"/>
      <c r="E287" s="53" t="s">
        <v>349</v>
      </c>
      <c r="F287" s="54" t="s">
        <v>17</v>
      </c>
      <c r="G287" s="55" t="s">
        <v>223</v>
      </c>
      <c r="H287" s="56">
        <v>624924.6</v>
      </c>
      <c r="I287" s="54" t="s">
        <v>48</v>
      </c>
      <c r="J287" s="57">
        <v>42460</v>
      </c>
    </row>
    <row r="288" spans="1:10" ht="51.75" hidden="1">
      <c r="A288" s="51" t="s">
        <v>306</v>
      </c>
      <c r="B288" s="51" t="str">
        <f>"06.545334-ТЭ"</f>
        <v>06.545334-ТЭ</v>
      </c>
      <c r="C288" s="51" t="s">
        <v>351</v>
      </c>
      <c r="D288" s="52"/>
      <c r="E288" s="53" t="s">
        <v>352</v>
      </c>
      <c r="F288" s="54" t="s">
        <v>17</v>
      </c>
      <c r="G288" s="55" t="s">
        <v>210</v>
      </c>
      <c r="H288" s="56">
        <v>5337555.09</v>
      </c>
      <c r="I288" s="54" t="s">
        <v>182</v>
      </c>
      <c r="J288" s="57">
        <v>42460</v>
      </c>
    </row>
    <row r="289" spans="1:10" ht="26.25" hidden="1">
      <c r="A289" s="51" t="s">
        <v>306</v>
      </c>
      <c r="B289" s="51" t="str">
        <f>"06.578040-ТЭ"</f>
        <v>06.578040-ТЭ</v>
      </c>
      <c r="C289" s="51" t="s">
        <v>185</v>
      </c>
      <c r="D289" s="52"/>
      <c r="E289" s="53" t="s">
        <v>353</v>
      </c>
      <c r="F289" s="54" t="s">
        <v>17</v>
      </c>
      <c r="G289" s="55" t="s">
        <v>189</v>
      </c>
      <c r="H289" s="56">
        <v>4363924.07</v>
      </c>
      <c r="I289" s="54" t="s">
        <v>28</v>
      </c>
      <c r="J289" s="57">
        <v>42460</v>
      </c>
    </row>
    <row r="290" spans="1:10" ht="26.25" hidden="1">
      <c r="A290" s="51" t="s">
        <v>306</v>
      </c>
      <c r="B290" s="51" t="str">
        <f>"06.579011-ТЭ"</f>
        <v>06.579011-ТЭ</v>
      </c>
      <c r="C290" s="51" t="s">
        <v>354</v>
      </c>
      <c r="D290" s="52"/>
      <c r="E290" s="53" t="s">
        <v>316</v>
      </c>
      <c r="F290" s="54" t="s">
        <v>17</v>
      </c>
      <c r="G290" s="55" t="s">
        <v>189</v>
      </c>
      <c r="H290" s="56">
        <v>403051.3</v>
      </c>
      <c r="I290" s="54" t="s">
        <v>19</v>
      </c>
      <c r="J290" s="57">
        <v>42460</v>
      </c>
    </row>
    <row r="291" spans="1:10" ht="26.25" hidden="1">
      <c r="A291" s="51" t="s">
        <v>306</v>
      </c>
      <c r="B291" s="51" t="str">
        <f>"06.580019-ТЭ"</f>
        <v>06.580019-ТЭ</v>
      </c>
      <c r="C291" s="51" t="s">
        <v>24</v>
      </c>
      <c r="D291" s="52"/>
      <c r="E291" s="53" t="s">
        <v>316</v>
      </c>
      <c r="F291" s="54" t="s">
        <v>17</v>
      </c>
      <c r="G291" s="55" t="s">
        <v>199</v>
      </c>
      <c r="H291" s="56">
        <v>498654.49</v>
      </c>
      <c r="I291" s="54" t="s">
        <v>19</v>
      </c>
      <c r="J291" s="57">
        <v>42460</v>
      </c>
    </row>
    <row r="292" spans="1:10" ht="26.25" hidden="1">
      <c r="A292" s="51" t="s">
        <v>306</v>
      </c>
      <c r="B292" s="51" t="str">
        <f>"06.580019ГВС"</f>
        <v>06.580019ГВС</v>
      </c>
      <c r="C292" s="51" t="s">
        <v>24</v>
      </c>
      <c r="D292" s="52"/>
      <c r="E292" s="53" t="s">
        <v>316</v>
      </c>
      <c r="F292" s="54" t="s">
        <v>17</v>
      </c>
      <c r="G292" s="55" t="s">
        <v>199</v>
      </c>
      <c r="H292" s="56">
        <v>316964.5</v>
      </c>
      <c r="I292" s="54" t="s">
        <v>19</v>
      </c>
      <c r="J292" s="57">
        <v>42460</v>
      </c>
    </row>
    <row r="293" spans="1:10" ht="39" hidden="1">
      <c r="A293" s="51" t="s">
        <v>306</v>
      </c>
      <c r="B293" s="51" t="str">
        <f>"06.580059-ТЭ"</f>
        <v>06.580059-ТЭ</v>
      </c>
      <c r="C293" s="51" t="s">
        <v>355</v>
      </c>
      <c r="D293" s="52"/>
      <c r="E293" s="53" t="s">
        <v>309</v>
      </c>
      <c r="F293" s="54" t="s">
        <v>17</v>
      </c>
      <c r="G293" s="55" t="s">
        <v>199</v>
      </c>
      <c r="H293" s="56">
        <v>6460799.4499999993</v>
      </c>
      <c r="I293" s="54" t="s">
        <v>56</v>
      </c>
      <c r="J293" s="57">
        <v>42460</v>
      </c>
    </row>
    <row r="294" spans="1:10" ht="39" hidden="1">
      <c r="A294" s="51" t="s">
        <v>306</v>
      </c>
      <c r="B294" s="51" t="str">
        <f>"06.580059ГВС"</f>
        <v>06.580059ГВС</v>
      </c>
      <c r="C294" s="51" t="s">
        <v>355</v>
      </c>
      <c r="D294" s="52"/>
      <c r="E294" s="53" t="s">
        <v>309</v>
      </c>
      <c r="F294" s="54" t="s">
        <v>17</v>
      </c>
      <c r="G294" s="55" t="s">
        <v>199</v>
      </c>
      <c r="H294" s="56">
        <v>2383704.23</v>
      </c>
      <c r="I294" s="54" t="s">
        <v>33</v>
      </c>
      <c r="J294" s="57">
        <v>42460</v>
      </c>
    </row>
    <row r="295" spans="1:10" ht="39" hidden="1">
      <c r="A295" s="51" t="s">
        <v>306</v>
      </c>
      <c r="B295" s="51" t="str">
        <f>"06.580061-ТЭ"</f>
        <v>06.580061-ТЭ</v>
      </c>
      <c r="C295" s="51" t="s">
        <v>355</v>
      </c>
      <c r="D295" s="52"/>
      <c r="E295" s="53" t="s">
        <v>309</v>
      </c>
      <c r="F295" s="54" t="s">
        <v>17</v>
      </c>
      <c r="G295" s="55" t="s">
        <v>199</v>
      </c>
      <c r="H295" s="56">
        <v>570479.04999999993</v>
      </c>
      <c r="I295" s="54" t="s">
        <v>27</v>
      </c>
      <c r="J295" s="57">
        <v>42460</v>
      </c>
    </row>
    <row r="296" spans="1:10" ht="39" hidden="1">
      <c r="A296" s="51" t="s">
        <v>306</v>
      </c>
      <c r="B296" s="51" t="str">
        <f>"06.580061ГВС"</f>
        <v>06.580061ГВС</v>
      </c>
      <c r="C296" s="51" t="s">
        <v>355</v>
      </c>
      <c r="D296" s="52"/>
      <c r="E296" s="53" t="s">
        <v>309</v>
      </c>
      <c r="F296" s="54" t="s">
        <v>17</v>
      </c>
      <c r="G296" s="55" t="s">
        <v>199</v>
      </c>
      <c r="H296" s="56">
        <v>445828.97000000003</v>
      </c>
      <c r="I296" s="54" t="s">
        <v>90</v>
      </c>
      <c r="J296" s="57">
        <v>42460</v>
      </c>
    </row>
    <row r="297" spans="1:10" ht="39" hidden="1">
      <c r="A297" s="51" t="s">
        <v>306</v>
      </c>
      <c r="B297" s="51" t="str">
        <f>"06.580089-ТЭ"</f>
        <v>06.580089-ТЭ</v>
      </c>
      <c r="C297" s="51" t="s">
        <v>109</v>
      </c>
      <c r="D297" s="52"/>
      <c r="E297" s="53" t="s">
        <v>349</v>
      </c>
      <c r="F297" s="54" t="s">
        <v>17</v>
      </c>
      <c r="G297" s="55" t="s">
        <v>199</v>
      </c>
      <c r="H297" s="56">
        <v>2200385.13</v>
      </c>
      <c r="I297" s="54" t="s">
        <v>141</v>
      </c>
      <c r="J297" s="57">
        <v>42460</v>
      </c>
    </row>
    <row r="298" spans="1:10" ht="39" hidden="1">
      <c r="A298" s="51" t="s">
        <v>306</v>
      </c>
      <c r="B298" s="51" t="str">
        <f>"06.580089ГВС"</f>
        <v>06.580089ГВС</v>
      </c>
      <c r="C298" s="51" t="s">
        <v>109</v>
      </c>
      <c r="D298" s="52"/>
      <c r="E298" s="53" t="s">
        <v>349</v>
      </c>
      <c r="F298" s="54" t="s">
        <v>17</v>
      </c>
      <c r="G298" s="55" t="s">
        <v>199</v>
      </c>
      <c r="H298" s="56">
        <v>4032167.52</v>
      </c>
      <c r="I298" s="54" t="s">
        <v>315</v>
      </c>
      <c r="J298" s="57">
        <v>42460</v>
      </c>
    </row>
    <row r="299" spans="1:10" ht="39" hidden="1">
      <c r="A299" s="51" t="s">
        <v>306</v>
      </c>
      <c r="B299" s="51" t="str">
        <f>"06.580091-ТЭ"</f>
        <v>06.580091-ТЭ</v>
      </c>
      <c r="C299" s="51" t="s">
        <v>356</v>
      </c>
      <c r="D299" s="52" t="s">
        <v>74</v>
      </c>
      <c r="E299" s="58" t="s">
        <v>357</v>
      </c>
      <c r="F299" s="54" t="s">
        <v>70</v>
      </c>
      <c r="G299" s="55" t="s">
        <v>199</v>
      </c>
      <c r="H299" s="56">
        <v>615000</v>
      </c>
      <c r="I299" s="54" t="s">
        <v>90</v>
      </c>
      <c r="J299" s="54" t="s">
        <v>48</v>
      </c>
    </row>
    <row r="300" spans="1:10" ht="39" hidden="1">
      <c r="A300" s="51" t="s">
        <v>306</v>
      </c>
      <c r="B300" s="51" t="str">
        <f>"06.580091ГВС"</f>
        <v>06.580091ГВС</v>
      </c>
      <c r="C300" s="51" t="s">
        <v>356</v>
      </c>
      <c r="D300" s="52" t="s">
        <v>74</v>
      </c>
      <c r="E300" s="58" t="s">
        <v>357</v>
      </c>
      <c r="F300" s="54" t="s">
        <v>70</v>
      </c>
      <c r="G300" s="55" t="s">
        <v>199</v>
      </c>
      <c r="H300" s="56">
        <v>542889.89</v>
      </c>
      <c r="I300" s="54" t="s">
        <v>90</v>
      </c>
      <c r="J300" s="54" t="s">
        <v>74</v>
      </c>
    </row>
    <row r="301" spans="1:10" ht="39" hidden="1">
      <c r="A301" s="51" t="s">
        <v>306</v>
      </c>
      <c r="B301" s="51" t="str">
        <f>"06.580094-ТЭ"</f>
        <v>06.580094-ТЭ</v>
      </c>
      <c r="C301" s="51" t="s">
        <v>358</v>
      </c>
      <c r="D301" s="52"/>
      <c r="E301" s="53" t="s">
        <v>359</v>
      </c>
      <c r="F301" s="54" t="s">
        <v>17</v>
      </c>
      <c r="G301" s="55" t="s">
        <v>199</v>
      </c>
      <c r="H301" s="56">
        <v>1409600.2400000002</v>
      </c>
      <c r="I301" s="54" t="s">
        <v>84</v>
      </c>
      <c r="J301" s="57">
        <v>42460</v>
      </c>
    </row>
    <row r="302" spans="1:10" ht="26.25" hidden="1">
      <c r="A302" s="51" t="s">
        <v>306</v>
      </c>
      <c r="B302" s="51" t="str">
        <f>"06.580104ГВС"</f>
        <v>06.580104ГВС</v>
      </c>
      <c r="C302" s="51" t="s">
        <v>185</v>
      </c>
      <c r="D302" s="52"/>
      <c r="E302" s="53" t="s">
        <v>344</v>
      </c>
      <c r="F302" s="54" t="s">
        <v>17</v>
      </c>
      <c r="G302" s="55" t="s">
        <v>199</v>
      </c>
      <c r="H302" s="56">
        <v>246900.07999999996</v>
      </c>
      <c r="I302" s="54" t="s">
        <v>23</v>
      </c>
      <c r="J302" s="57">
        <v>42460</v>
      </c>
    </row>
    <row r="303" spans="1:10" ht="51.75" hidden="1">
      <c r="A303" s="51" t="s">
        <v>306</v>
      </c>
      <c r="B303" s="51" t="str">
        <f>"06.590059-ТЭ"</f>
        <v>06.590059-ТЭ</v>
      </c>
      <c r="C303" s="51" t="s">
        <v>360</v>
      </c>
      <c r="D303" s="52"/>
      <c r="E303" s="53" t="s">
        <v>361</v>
      </c>
      <c r="F303" s="54" t="s">
        <v>17</v>
      </c>
      <c r="G303" s="55" t="s">
        <v>223</v>
      </c>
      <c r="H303" s="56">
        <v>8692631.870000001</v>
      </c>
      <c r="I303" s="54" t="s">
        <v>19</v>
      </c>
      <c r="J303" s="57">
        <v>42460</v>
      </c>
    </row>
    <row r="304" spans="1:10" ht="51.75" hidden="1">
      <c r="A304" s="51" t="s">
        <v>306</v>
      </c>
      <c r="B304" s="51" t="str">
        <f>"06.590076-ТЭ"</f>
        <v>06.590076-ТЭ</v>
      </c>
      <c r="C304" s="51" t="s">
        <v>168</v>
      </c>
      <c r="D304" s="52"/>
      <c r="E304" s="53" t="s">
        <v>362</v>
      </c>
      <c r="F304" s="54" t="s">
        <v>17</v>
      </c>
      <c r="G304" s="55" t="s">
        <v>210</v>
      </c>
      <c r="H304" s="56">
        <v>1188315.02</v>
      </c>
      <c r="I304" s="54" t="s">
        <v>27</v>
      </c>
      <c r="J304" s="57">
        <v>42460</v>
      </c>
    </row>
    <row r="305" spans="1:10" ht="51.75" hidden="1">
      <c r="A305" s="51" t="s">
        <v>306</v>
      </c>
      <c r="B305" s="51" t="str">
        <f>"06.590080-ТЭ"</f>
        <v>06.590080-ТЭ</v>
      </c>
      <c r="C305" s="51" t="s">
        <v>348</v>
      </c>
      <c r="D305" s="52"/>
      <c r="E305" s="53" t="s">
        <v>349</v>
      </c>
      <c r="F305" s="54" t="s">
        <v>17</v>
      </c>
      <c r="G305" s="55" t="s">
        <v>223</v>
      </c>
      <c r="H305" s="56">
        <v>4268720.75</v>
      </c>
      <c r="I305" s="54" t="s">
        <v>48</v>
      </c>
      <c r="J305" s="57">
        <v>42460</v>
      </c>
    </row>
    <row r="306" spans="1:10" ht="51.75" hidden="1">
      <c r="A306" s="51" t="s">
        <v>306</v>
      </c>
      <c r="B306" s="51" t="str">
        <f>"06.590080ГВС"</f>
        <v>06.590080ГВС</v>
      </c>
      <c r="C306" s="51" t="s">
        <v>348</v>
      </c>
      <c r="D306" s="52"/>
      <c r="E306" s="53" t="s">
        <v>349</v>
      </c>
      <c r="F306" s="54" t="s">
        <v>17</v>
      </c>
      <c r="G306" s="55" t="s">
        <v>223</v>
      </c>
      <c r="H306" s="56">
        <v>1326886.51</v>
      </c>
      <c r="I306" s="54" t="s">
        <v>141</v>
      </c>
      <c r="J306" s="57">
        <v>42460</v>
      </c>
    </row>
    <row r="307" spans="1:10" ht="51.75" hidden="1">
      <c r="A307" s="51" t="s">
        <v>306</v>
      </c>
      <c r="B307" s="51" t="str">
        <f>"06.590085-ТЭ"</f>
        <v>06.590085-ТЭ</v>
      </c>
      <c r="C307" s="51" t="s">
        <v>363</v>
      </c>
      <c r="D307" s="52"/>
      <c r="E307" s="53" t="s">
        <v>349</v>
      </c>
      <c r="F307" s="54" t="s">
        <v>17</v>
      </c>
      <c r="G307" s="55" t="s">
        <v>223</v>
      </c>
      <c r="H307" s="56">
        <v>590303.19000000006</v>
      </c>
      <c r="I307" s="54" t="s">
        <v>28</v>
      </c>
      <c r="J307" s="57">
        <v>42460</v>
      </c>
    </row>
    <row r="308" spans="1:10" ht="51.75" hidden="1">
      <c r="A308" s="51" t="s">
        <v>306</v>
      </c>
      <c r="B308" s="51" t="str">
        <f>"06.590085ГВС"</f>
        <v>06.590085ГВС</v>
      </c>
      <c r="C308" s="51" t="s">
        <v>363</v>
      </c>
      <c r="D308" s="52"/>
      <c r="E308" s="53" t="s">
        <v>349</v>
      </c>
      <c r="F308" s="54" t="s">
        <v>17</v>
      </c>
      <c r="G308" s="55" t="s">
        <v>223</v>
      </c>
      <c r="H308" s="56">
        <v>58459.739999999991</v>
      </c>
      <c r="I308" s="54" t="s">
        <v>84</v>
      </c>
      <c r="J308" s="57">
        <v>42460</v>
      </c>
    </row>
    <row r="309" spans="1:10" ht="51.75" hidden="1">
      <c r="A309" s="51" t="s">
        <v>306</v>
      </c>
      <c r="B309" s="51" t="str">
        <f>"06.590087-ТЭ"</f>
        <v>06.590087-ТЭ</v>
      </c>
      <c r="C309" s="51" t="s">
        <v>15</v>
      </c>
      <c r="D309" s="52" t="s">
        <v>48</v>
      </c>
      <c r="E309" s="58" t="s">
        <v>364</v>
      </c>
      <c r="F309" s="54" t="s">
        <v>70</v>
      </c>
      <c r="G309" s="55" t="s">
        <v>223</v>
      </c>
      <c r="H309" s="56">
        <v>3584446.64</v>
      </c>
      <c r="I309" s="54" t="s">
        <v>33</v>
      </c>
      <c r="J309" s="54" t="s">
        <v>48</v>
      </c>
    </row>
    <row r="310" spans="1:10" ht="51.75" hidden="1">
      <c r="A310" s="51" t="s">
        <v>306</v>
      </c>
      <c r="B310" s="51" t="str">
        <f>"06.590087ГВС"</f>
        <v>06.590087ГВС</v>
      </c>
      <c r="C310" s="51" t="s">
        <v>15</v>
      </c>
      <c r="D310" s="52" t="s">
        <v>48</v>
      </c>
      <c r="E310" s="58" t="s">
        <v>364</v>
      </c>
      <c r="F310" s="54" t="s">
        <v>70</v>
      </c>
      <c r="G310" s="55" t="s">
        <v>223</v>
      </c>
      <c r="H310" s="56">
        <v>453944.15</v>
      </c>
      <c r="I310" s="54" t="s">
        <v>33</v>
      </c>
      <c r="J310" s="54" t="s">
        <v>48</v>
      </c>
    </row>
    <row r="311" spans="1:10" ht="51.75" hidden="1">
      <c r="A311" s="51" t="s">
        <v>306</v>
      </c>
      <c r="B311" s="51" t="str">
        <f>"06.590090-ТЭ"</f>
        <v>06.590090-ТЭ</v>
      </c>
      <c r="C311" s="51" t="s">
        <v>185</v>
      </c>
      <c r="D311" s="52"/>
      <c r="E311" s="53" t="s">
        <v>349</v>
      </c>
      <c r="F311" s="54" t="s">
        <v>17</v>
      </c>
      <c r="G311" s="55" t="s">
        <v>223</v>
      </c>
      <c r="H311" s="56">
        <v>5840485.04</v>
      </c>
      <c r="I311" s="54" t="s">
        <v>84</v>
      </c>
      <c r="J311" s="57">
        <v>42460</v>
      </c>
    </row>
    <row r="312" spans="1:10" ht="51.75" hidden="1">
      <c r="A312" s="51" t="s">
        <v>306</v>
      </c>
      <c r="B312" s="51" t="str">
        <f>"06.590090ГВС"</f>
        <v>06.590090ГВС</v>
      </c>
      <c r="C312" s="51" t="s">
        <v>185</v>
      </c>
      <c r="D312" s="52"/>
      <c r="E312" s="53" t="s">
        <v>349</v>
      </c>
      <c r="F312" s="54" t="s">
        <v>17</v>
      </c>
      <c r="G312" s="55" t="s">
        <v>223</v>
      </c>
      <c r="H312" s="56">
        <v>2905074.13</v>
      </c>
      <c r="I312" s="54" t="s">
        <v>65</v>
      </c>
      <c r="J312" s="57">
        <v>42460</v>
      </c>
    </row>
    <row r="313" spans="1:10" ht="51.75" hidden="1">
      <c r="A313" s="51" t="s">
        <v>306</v>
      </c>
      <c r="B313" s="51" t="str">
        <f>"1112037"</f>
        <v>1112037</v>
      </c>
      <c r="C313" s="51" t="s">
        <v>365</v>
      </c>
      <c r="D313" s="52"/>
      <c r="E313" s="53" t="s">
        <v>366</v>
      </c>
      <c r="F313" s="54" t="s">
        <v>17</v>
      </c>
      <c r="G313" s="55" t="s">
        <v>40</v>
      </c>
      <c r="H313" s="56">
        <v>1407786.68</v>
      </c>
      <c r="I313" s="54" t="s">
        <v>23</v>
      </c>
      <c r="J313" s="57">
        <v>42460</v>
      </c>
    </row>
    <row r="314" spans="1:10" ht="51.75" hidden="1">
      <c r="A314" s="51" t="s">
        <v>306</v>
      </c>
      <c r="B314" s="51" t="str">
        <f>"1112048"</f>
        <v>1112048</v>
      </c>
      <c r="C314" s="51" t="s">
        <v>365</v>
      </c>
      <c r="D314" s="52"/>
      <c r="E314" s="53" t="s">
        <v>366</v>
      </c>
      <c r="F314" s="54" t="s">
        <v>17</v>
      </c>
      <c r="G314" s="55" t="s">
        <v>40</v>
      </c>
      <c r="H314" s="56">
        <v>1255774.51</v>
      </c>
      <c r="I314" s="54" t="s">
        <v>23</v>
      </c>
      <c r="J314" s="57">
        <v>42460</v>
      </c>
    </row>
    <row r="315" spans="1:10" ht="26.25" hidden="1">
      <c r="A315" s="51" t="s">
        <v>306</v>
      </c>
      <c r="B315" s="51" t="str">
        <f>"5.30509/0"</f>
        <v>5.30509/0</v>
      </c>
      <c r="C315" s="51" t="s">
        <v>367</v>
      </c>
      <c r="D315" s="52"/>
      <c r="E315" s="53" t="s">
        <v>368</v>
      </c>
      <c r="F315" s="54" t="s">
        <v>17</v>
      </c>
      <c r="G315" s="55" t="s">
        <v>18</v>
      </c>
      <c r="H315" s="56">
        <v>70953.14</v>
      </c>
      <c r="I315" s="54" t="s">
        <v>28</v>
      </c>
      <c r="J315" s="57">
        <v>42460</v>
      </c>
    </row>
  </sheetData>
  <autoFilter ref="A7:J315">
    <filterColumn colId="6">
      <filters>
        <filter val="Даниловский"/>
      </filters>
    </filterColumn>
  </autoFilter>
  <mergeCells count="12">
    <mergeCell ref="I6:I7"/>
    <mergeCell ref="J6:J7"/>
    <mergeCell ref="B3:H3"/>
    <mergeCell ref="A5:A7"/>
    <mergeCell ref="B5:B7"/>
    <mergeCell ref="C5:C7"/>
    <mergeCell ref="D5:D7"/>
    <mergeCell ref="E5:E7"/>
    <mergeCell ref="F5:F7"/>
    <mergeCell ref="G5:G7"/>
    <mergeCell ref="H5:J5"/>
    <mergeCell ref="H6:H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2016-05-19T05:06:13Z</dcterms:modified>
</cp:coreProperties>
</file>